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alat 2026 Julu 1 ararka\"/>
    </mc:Choice>
  </mc:AlternateContent>
  <bookViews>
    <workbookView xWindow="0" yWindow="0" windowWidth="19200" windowHeight="6930"/>
  </bookViews>
  <sheets>
    <sheet name="Հարցեր" sheetId="7" r:id="rId1"/>
    <sheet name="Խ 1" sheetId="3" r:id="rId2"/>
    <sheet name="Խ 2" sheetId="6" r:id="rId3"/>
    <sheet name="Խ 4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4" l="1"/>
  <c r="J26" i="4"/>
  <c r="M58" i="6" l="1"/>
  <c r="L32" i="6" l="1"/>
  <c r="L15" i="6"/>
  <c r="L10" i="6"/>
  <c r="C57" i="6"/>
  <c r="C55" i="6"/>
  <c r="C53" i="6"/>
  <c r="L38" i="6"/>
  <c r="B37" i="6"/>
  <c r="B44" i="6" s="1"/>
  <c r="B46" i="6" s="1"/>
  <c r="L28" i="6"/>
  <c r="S16" i="6"/>
  <c r="S15" i="6"/>
  <c r="S14" i="6"/>
  <c r="L14" i="6"/>
  <c r="L13" i="6"/>
  <c r="L11" i="6"/>
  <c r="S10" i="6"/>
  <c r="L9" i="6"/>
  <c r="S8" i="6"/>
  <c r="L6" i="6"/>
  <c r="L5" i="6"/>
  <c r="S4" i="6"/>
  <c r="S3" i="6"/>
  <c r="S2" i="6"/>
  <c r="S5" i="6" l="1"/>
  <c r="L19" i="6" s="1"/>
  <c r="S17" i="6"/>
  <c r="L18" i="6" s="1"/>
  <c r="L3" i="6"/>
  <c r="L12" i="6"/>
  <c r="L16" i="6" s="1"/>
  <c r="B48" i="6"/>
  <c r="S9" i="6"/>
  <c r="S11" i="6"/>
  <c r="L33" i="6" s="1"/>
  <c r="L34" i="6" s="1"/>
  <c r="L20" i="6" l="1"/>
  <c r="L37" i="6" s="1"/>
  <c r="L39" i="6" s="1"/>
  <c r="D41" i="4" l="1"/>
  <c r="C41" i="4"/>
  <c r="F38" i="4"/>
  <c r="I38" i="4" s="1"/>
  <c r="D38" i="4"/>
  <c r="C38" i="4"/>
  <c r="D35" i="4"/>
  <c r="C35" i="4"/>
  <c r="F32" i="4"/>
  <c r="I32" i="4" s="1"/>
  <c r="D32" i="4"/>
  <c r="C32" i="4"/>
  <c r="F31" i="4"/>
  <c r="I31" i="4" s="1"/>
  <c r="I33" i="4" s="1"/>
  <c r="E31" i="4"/>
  <c r="C31" i="4"/>
  <c r="E29" i="4"/>
  <c r="D29" i="4"/>
  <c r="C29" i="4"/>
  <c r="F21" i="4"/>
  <c r="G21" i="4" s="1"/>
  <c r="D20" i="4"/>
  <c r="C20" i="4"/>
  <c r="F19" i="4"/>
  <c r="D19" i="4"/>
  <c r="C19" i="4"/>
  <c r="D18" i="4"/>
  <c r="C18" i="4"/>
  <c r="F17" i="4"/>
  <c r="D17" i="4"/>
  <c r="C17" i="4"/>
  <c r="F16" i="4"/>
  <c r="G16" i="4" s="1"/>
  <c r="E16" i="4"/>
  <c r="E17" i="4" s="1"/>
  <c r="E18" i="4" s="1"/>
  <c r="E19" i="4" s="1"/>
  <c r="E20" i="4" s="1"/>
  <c r="E21" i="4" s="1"/>
  <c r="C16" i="4"/>
  <c r="E6" i="3"/>
  <c r="C51" i="3"/>
  <c r="H77" i="3"/>
  <c r="D73" i="3"/>
  <c r="D68" i="3"/>
  <c r="C62" i="3"/>
  <c r="B62" i="3"/>
  <c r="C61" i="3"/>
  <c r="D57" i="3"/>
  <c r="D74" i="3" s="1"/>
  <c r="C57" i="3"/>
  <c r="B57" i="3"/>
  <c r="D56" i="3"/>
  <c r="C56" i="3"/>
  <c r="B56" i="3"/>
  <c r="D55" i="3"/>
  <c r="C55" i="3" s="1"/>
  <c r="C58" i="3" s="1"/>
  <c r="C63" i="3" s="1"/>
  <c r="B55" i="3"/>
  <c r="C50" i="3"/>
  <c r="D32" i="3"/>
  <c r="D34" i="3" s="1"/>
  <c r="C32" i="3"/>
  <c r="G31" i="3"/>
  <c r="D28" i="3"/>
  <c r="C28" i="3"/>
  <c r="G28" i="3" s="1"/>
  <c r="G27" i="3"/>
  <c r="D22" i="3"/>
  <c r="C22" i="3"/>
  <c r="G20" i="3"/>
  <c r="G19" i="3"/>
  <c r="D14" i="3"/>
  <c r="C14" i="3"/>
  <c r="G13" i="3"/>
  <c r="E12" i="3"/>
  <c r="E30" i="3" s="1"/>
  <c r="G30" i="3" s="1"/>
  <c r="G11" i="3"/>
  <c r="D8" i="3"/>
  <c r="C8" i="3"/>
  <c r="G6" i="3"/>
  <c r="G5" i="3"/>
  <c r="G33" i="4" l="1"/>
  <c r="H35" i="4" s="1"/>
  <c r="I35" i="4" s="1"/>
  <c r="I36" i="4" s="1"/>
  <c r="E33" i="4"/>
  <c r="E36" i="4" s="1"/>
  <c r="E39" i="4" s="1"/>
  <c r="E42" i="4" s="1"/>
  <c r="E44" i="4" s="1"/>
  <c r="G32" i="3"/>
  <c r="C34" i="3"/>
  <c r="D58" i="3"/>
  <c r="D16" i="3"/>
  <c r="D35" i="3" s="1"/>
  <c r="C16" i="3"/>
  <c r="C64" i="3"/>
  <c r="E7" i="3" s="1"/>
  <c r="G7" i="3" s="1"/>
  <c r="G8" i="3" s="1"/>
  <c r="D75" i="3"/>
  <c r="G21" i="3" s="1"/>
  <c r="G22" i="3" s="1"/>
  <c r="D69" i="3"/>
  <c r="D70" i="3" s="1"/>
  <c r="G24" i="3" s="1"/>
  <c r="G12" i="3"/>
  <c r="G14" i="3" s="1"/>
  <c r="G16" i="3" s="1"/>
  <c r="I39" i="4" l="1"/>
  <c r="G39" i="4" s="1"/>
  <c r="H41" i="4" s="1"/>
  <c r="I41" i="4" s="1"/>
  <c r="I42" i="4" s="1"/>
  <c r="G36" i="4"/>
  <c r="H33" i="4"/>
  <c r="C35" i="3"/>
  <c r="G34" i="3"/>
  <c r="G35" i="3" s="1"/>
  <c r="I44" i="4" l="1"/>
  <c r="G42" i="4"/>
</calcChain>
</file>

<file path=xl/sharedStrings.xml><?xml version="1.0" encoding="utf-8"?>
<sst xmlns="http://schemas.openxmlformats.org/spreadsheetml/2006/main" count="254" uniqueCount="188">
  <si>
    <t>Ֆինանսական վիճակի մասին հաշվետվություն</t>
  </si>
  <si>
    <t>Ոչ ընթացիկ ակտիվներ</t>
  </si>
  <si>
    <t>հազար դրամ</t>
  </si>
  <si>
    <t>Հիմնական միջոցներ</t>
  </si>
  <si>
    <t>Ընթացիկ ակտիվներ</t>
  </si>
  <si>
    <t>Դեբիտորական պարտքեր</t>
  </si>
  <si>
    <t>Պաշարներ</t>
  </si>
  <si>
    <t>Դրամական միջոցներ</t>
  </si>
  <si>
    <t>Ընդամենը ակտիվներ</t>
  </si>
  <si>
    <t>Կանոնադրական կապիտալ</t>
  </si>
  <si>
    <t>Էմիսիոն եկամուտ</t>
  </si>
  <si>
    <t>Չբաշխված շահույթ</t>
  </si>
  <si>
    <t>Ոչ ընթացիկ պարտավորություններ</t>
  </si>
  <si>
    <t>Վարկեր</t>
  </si>
  <si>
    <t>Ընթացիկ պարտավորություններ</t>
  </si>
  <si>
    <t>Կրեդիտորական պարտքեր</t>
  </si>
  <si>
    <t>Շահութահարկի գծով պարտավորություն</t>
  </si>
  <si>
    <t>Գուդվիլ</t>
  </si>
  <si>
    <t>Հատուցման իրական արժեք</t>
  </si>
  <si>
    <t>Չվերահսկվող բաժնեմաս</t>
  </si>
  <si>
    <t>Իրական արժեք</t>
  </si>
  <si>
    <t>Հետձեռքբերման տարվա շահույթ</t>
  </si>
  <si>
    <t>Խմբի չբաշխված շահույթ</t>
  </si>
  <si>
    <t>Ֆինանսական վիճակի մասին համախմբված հաշվետվություն</t>
  </si>
  <si>
    <t>Ներդրում  դուստր կազմակերպությունում</t>
  </si>
  <si>
    <t>"Ֆրեշ" ՓԲԸ-ն ձեռք է բերել "Սուրճ" ՓԲԸ-ի զուտ ակտիվների 80 տոկոսը՝ 01.01.2025թ.</t>
  </si>
  <si>
    <t>"Սուրճ ՓԲԸ"-ի չբաշխված շահույթ</t>
  </si>
  <si>
    <t>Չվերահսկվող բաժնեմասի (20 տոկոս) իրական արժեք</t>
  </si>
  <si>
    <t>Խմբի կառուցվածք</t>
  </si>
  <si>
    <t>"Սուրճ" ՓԲԸ զուտ ակտիվներ</t>
  </si>
  <si>
    <t>01.01.25</t>
  </si>
  <si>
    <t>31.12.25</t>
  </si>
  <si>
    <t>01.01.2025թ. հազար դրամ</t>
  </si>
  <si>
    <t>"Սուրճ" ՓԲԸ զուտ ակտիվներ՝ ձեռքբերման օրվա դրությամբ</t>
  </si>
  <si>
    <t>Ճշգրտումներ</t>
  </si>
  <si>
    <t>"Ֆրեշ" ՓԲԸ</t>
  </si>
  <si>
    <t>"Սուրճ" ՓԲԸ</t>
  </si>
  <si>
    <t>31.12.2025թ.</t>
  </si>
  <si>
    <t>Սեփական կապիտալ եվ պարտավորություններ</t>
  </si>
  <si>
    <t>Ընդամենը սեփական կապիտալ եվ պարտավորություններ</t>
  </si>
  <si>
    <t>ծնթ</t>
  </si>
  <si>
    <t>միավոր</t>
  </si>
  <si>
    <t>"Ֆրեշ" ՓԲԸ չբաշխված շահույթ</t>
  </si>
  <si>
    <t>Խնդրի տվյալներ</t>
  </si>
  <si>
    <t>Ձևաչափի համար</t>
  </si>
  <si>
    <t>Ընդամենը</t>
  </si>
  <si>
    <t>Ներխմբային գործարքներից մնացորդներ</t>
  </si>
  <si>
    <t>Խորհրդատվության /դեբիտոր մայրում</t>
  </si>
  <si>
    <t>Պաշարներ /կրեդիտոր մայրում</t>
  </si>
  <si>
    <t>Խնդրի Տվյալներ</t>
  </si>
  <si>
    <t>Հոդված</t>
  </si>
  <si>
    <t>Ամսաթիվ</t>
  </si>
  <si>
    <t>տոննա</t>
  </si>
  <si>
    <t>միավոր արժեք</t>
  </si>
  <si>
    <t>Մնացորդ</t>
  </si>
  <si>
    <t>01 հունվար 2025</t>
  </si>
  <si>
    <t>Մուտք</t>
  </si>
  <si>
    <t>05 հունվար 2025</t>
  </si>
  <si>
    <t>Ձեռքբերման արժեք</t>
  </si>
  <si>
    <t>12 օգոստոս 2025</t>
  </si>
  <si>
    <t>Ելք</t>
  </si>
  <si>
    <t>14 մարտ 2025</t>
  </si>
  <si>
    <t>Իրացման գին</t>
  </si>
  <si>
    <t>24 դեկտեմբեր 2025</t>
  </si>
  <si>
    <t>ԱՄԱԵ</t>
  </si>
  <si>
    <t>Շարժ</t>
  </si>
  <si>
    <t>Մնացորդ    /տոննա/</t>
  </si>
  <si>
    <t>Մուտքի արժեք</t>
  </si>
  <si>
    <t>Մնացորդ   /հազ.դրամ/</t>
  </si>
  <si>
    <t>Մնացորդ սկզբնական</t>
  </si>
  <si>
    <t>Մնացորդ վերջնական</t>
  </si>
  <si>
    <t>31 դեկտեմբեր 2025</t>
  </si>
  <si>
    <t>Պաշարների վերջնական գնահատում 31 դեկտեմբեր 2025թ.</t>
  </si>
  <si>
    <t>Բոլոր գործարքներից հետո մնացած 315 տոննան ամբողջությամբ 2025թ. հոկտեմբերի 12-ի մուտքից է, որը պահեստ մուտք գործած վերջին խմբաքանակն էր։</t>
  </si>
  <si>
    <t>Վերջնական արժեքը՝ 315 տոննա  × 20,950 = 6,599,250</t>
  </si>
  <si>
    <t>Միջին կշռված արժեքի մեթոդ</t>
  </si>
  <si>
    <t>Մուտքի ինքնարժեք</t>
  </si>
  <si>
    <t>Մնացորդի ինքնարժեք</t>
  </si>
  <si>
    <t>Ելքի ինքնարժեք</t>
  </si>
  <si>
    <t>Վերջնական արժեքը՝ 315 տոննա  × 20,679 = 6,513,742</t>
  </si>
  <si>
    <t>Միավոր</t>
  </si>
  <si>
    <t>մոտք/ելք դասակարգելու համար</t>
  </si>
  <si>
    <t>եզրակացության համար</t>
  </si>
  <si>
    <t>հաշվարկների համար</t>
  </si>
  <si>
    <t>հազ. դրամ</t>
  </si>
  <si>
    <t>Դրամական հոսքերի մասին հաշվետվություն 31/12/2023 վերջացող տարվա համար</t>
  </si>
  <si>
    <t>Ծան 1</t>
  </si>
  <si>
    <t>Հարկեր</t>
  </si>
  <si>
    <t>31.12.2025</t>
  </si>
  <si>
    <t>31.12.2024</t>
  </si>
  <si>
    <t>Դրամական հոսքեր գործառնական գործունեությունից</t>
  </si>
  <si>
    <t>Սկզբնական մնացորդ</t>
  </si>
  <si>
    <t>Ակտիվներ</t>
  </si>
  <si>
    <t>Շահույթ մինչև հարկումը</t>
  </si>
  <si>
    <t>Տարվա ծախս</t>
  </si>
  <si>
    <t>Ճշտգրտումներ</t>
  </si>
  <si>
    <t>Վերջնական մնացորդ</t>
  </si>
  <si>
    <t xml:space="preserve">հիմնական միջոցների մաշվածություն </t>
  </si>
  <si>
    <t>Հարկի վճարում</t>
  </si>
  <si>
    <t>Ոչ նյութական ակտիվներ</t>
  </si>
  <si>
    <t>ոչ նյութական ակտիվների մաշվածք</t>
  </si>
  <si>
    <t>Ներդրումային գույք</t>
  </si>
  <si>
    <t>Ծան 2</t>
  </si>
  <si>
    <t>Վճարված շահաբաժնի հաշվարկ</t>
  </si>
  <si>
    <t>Կուտակված շահույթի սկզբնական մն.</t>
  </si>
  <si>
    <t>ֆինանսական ծախս</t>
  </si>
  <si>
    <t>Տարվա շահույթ</t>
  </si>
  <si>
    <t xml:space="preserve">Պաշարներ </t>
  </si>
  <si>
    <t>ներդրումային գույք-ստացված վարձավճար</t>
  </si>
  <si>
    <t>Կուտակված շահույթի վերջնական մն.</t>
  </si>
  <si>
    <t>ներդրումային գույք-իրական արժեքի փոփոխություն</t>
  </si>
  <si>
    <t>Վճարված շահաբաժին</t>
  </si>
  <si>
    <t>պաշարների փոփոխություն</t>
  </si>
  <si>
    <t>Ծան 3</t>
  </si>
  <si>
    <t>Տոկոսներ</t>
  </si>
  <si>
    <t>Ընդհանուր ակտիվներ</t>
  </si>
  <si>
    <t>դեբիտորական պարտքերի փոփոխություն</t>
  </si>
  <si>
    <t>կրեդիտորական պարտքերի փոփոխություն</t>
  </si>
  <si>
    <t>Սեփական կապիտալ և պարտավորություններ</t>
  </si>
  <si>
    <r>
      <t>Կանոնադրական կապիտալ ( 1000 դրամ յուր</t>
    </r>
    <r>
      <rPr>
        <sz val="11"/>
        <color theme="1"/>
        <rFont val="MS Mincho"/>
        <family val="3"/>
      </rPr>
      <t>․</t>
    </r>
    <r>
      <rPr>
        <sz val="11"/>
        <color theme="1"/>
        <rFont val="Sylfaen"/>
        <family val="1"/>
      </rPr>
      <t>բաժնետոմսի արժեքը)</t>
    </r>
  </si>
  <si>
    <t>Բաժնետոմսի հավելագին</t>
  </si>
  <si>
    <t>Վճարված տոկոսներ</t>
  </si>
  <si>
    <t>Կուտակված շահույթ</t>
  </si>
  <si>
    <t>Վճարված հարկեր</t>
  </si>
  <si>
    <t>Զուտ հոսքեր գործառնական գործունեությունից</t>
  </si>
  <si>
    <t>Վարկ 10 %</t>
  </si>
  <si>
    <t>Դրամական հոսքեր ներդրումային գործունեությունից</t>
  </si>
  <si>
    <t>Հիմնական միջոցների ձեռքբերում</t>
  </si>
  <si>
    <t>Հիմնական միջոցների օտարում</t>
  </si>
  <si>
    <t>Ոչ նյութական ակտիվի ձեռքբերում</t>
  </si>
  <si>
    <t>Ներդրումային գույքի ձեռքբերում</t>
  </si>
  <si>
    <t>Հաշվեգրած ֆինանսական ծախսեր</t>
  </si>
  <si>
    <t>Ստացված վարձավճար</t>
  </si>
  <si>
    <t>Զուտ հոսքեր ներդրումային գործունեությունից</t>
  </si>
  <si>
    <t>Դրամական հոսքեր ֆինանսական գործունեությունից</t>
  </si>
  <si>
    <t>Կապիտալ բաժնեմասի թողարկում</t>
  </si>
  <si>
    <t xml:space="preserve">Հասույթ </t>
  </si>
  <si>
    <t>վճարված  շահաբաժիններ</t>
  </si>
  <si>
    <t>Վաճառքի ինքնարժեք, այդ թվում`</t>
  </si>
  <si>
    <t>Զուտ հոսքեր ֆինանսական գործունեությունից</t>
  </si>
  <si>
    <t>Հիմնական միջոցների մաշվածություն</t>
  </si>
  <si>
    <t>Ոչ նյութական ակտիվների ամորտիզացիա</t>
  </si>
  <si>
    <t>Համախառն հասույթ</t>
  </si>
  <si>
    <t>Դրամական հոսքերի զուտ փոփոխություն</t>
  </si>
  <si>
    <t>Իրացման ծախսեր</t>
  </si>
  <si>
    <t>Դրամական միջոցներ ժամ. սկզբում</t>
  </si>
  <si>
    <t>Գործառնական ծախսեր</t>
  </si>
  <si>
    <t>Դրամական միջոցներ ժամ. վերջում</t>
  </si>
  <si>
    <t>Այլ եկամուտներ</t>
  </si>
  <si>
    <t>Ֆինանսական ծախսեր: վարկ</t>
  </si>
  <si>
    <t>Դրամական հոսքերի հաշվետվություն</t>
  </si>
  <si>
    <t>Ներդրումային գույք: ստացված վարձավճար</t>
  </si>
  <si>
    <t>Ծանոթագրություններ</t>
  </si>
  <si>
    <t>Ներդրումային գույք: իրական արժեքի փոփոխություն</t>
  </si>
  <si>
    <t>Հաշվետվության ֆորմատի համար</t>
  </si>
  <si>
    <t>Շահութահարկ</t>
  </si>
  <si>
    <t>Շահույթ</t>
  </si>
  <si>
    <t>Այլ համապարփակ արդյունք</t>
  </si>
  <si>
    <t>Ընդհանուր համապարփակ արդյունք</t>
  </si>
  <si>
    <t>Պաշարների շրջապտույտի տևողոություն</t>
  </si>
  <si>
    <t>Պ/ԻնքX365</t>
  </si>
  <si>
    <t>Դեբիտորական պատրքերի հավաքման տևողություն</t>
  </si>
  <si>
    <t>D/ԻնքX365</t>
  </si>
  <si>
    <t>Կրեդիտորական պարտքերի վճարման տևողություն</t>
  </si>
  <si>
    <t>K/ԻնքX365</t>
  </si>
  <si>
    <t>բ/</t>
  </si>
  <si>
    <t>ա/</t>
  </si>
  <si>
    <t>Ընդամնենը միավոր</t>
  </si>
  <si>
    <t xml:space="preserve"> միավոր</t>
  </si>
  <si>
    <t>ա)</t>
  </si>
  <si>
    <t>բ)</t>
  </si>
  <si>
    <t>Բազմակի ընտրության հարցեր</t>
  </si>
  <si>
    <t>Հարց</t>
  </si>
  <si>
    <t>Պատասխան</t>
  </si>
  <si>
    <t>Ա</t>
  </si>
  <si>
    <t>Բ</t>
  </si>
  <si>
    <t>Գ</t>
  </si>
  <si>
    <t>Դ</t>
  </si>
  <si>
    <t>Ընդամենը՝ միավոր</t>
  </si>
  <si>
    <t>Հաշվարկ</t>
  </si>
  <si>
    <t>125 000 * 100 / 2 500 000 = 5%</t>
  </si>
  <si>
    <t>2023թ.Մաշվածություն = 50,000 × 30% = 15,000 հազ. դրամ, Մնացորդային արժեք = 50,000 - 15,000 = 35,000 հազ. դրամ,                2024թ.Մաշվածություն = 35,000 × 30% = 10,500 հազ. դրամ, Մնացորդային արժեք = 35,000 - 10,500 = 24,500 հազ. դրամ,               2025թ.Մաշվածություն = 24,500 × 30% = 7,350 հազ. դրամ, Մնացորդային արժեք = 24,500 - 7,350 = 17,150 հազ. դրամ</t>
  </si>
  <si>
    <t>15 000-(10 400-120) = 4 720</t>
  </si>
  <si>
    <t xml:space="preserve">12 000 + 42 000 + 5 000 - 35 000 </t>
  </si>
  <si>
    <t>2,930 = 1 250+1 680</t>
  </si>
  <si>
    <t>380 = 560 - 180</t>
  </si>
  <si>
    <t>292.5 = (327.75/115*100) + 26 - 18,5</t>
  </si>
  <si>
    <t xml:space="preserve">700 000 հազ. դրամ = 1 500 000 - 800000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</si>
</sst>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_-* #,##0\ _դ_ր_._-;\-* #,##0\ _դ_ր_._-;_-* &quot;-&quot;??\ _դ_ր_._-;_-@_-"/>
    <numFmt numFmtId="169" formatCode="_-* #,##0_-;\-* #,##0_-;_-* &quot;-&quot;?_-;_-@_-"/>
    <numFmt numFmtId="170" formatCode="_-* #,##0_-;\-* #,##0_-;_-* &quot;-&quot;??_-;_-@_-"/>
    <numFmt numFmtId="171" formatCode="#,##0_ ;[Red]\-#,##0\ "/>
    <numFmt numFmtId="172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Sylfaen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MS Mincho"/>
      <family val="3"/>
    </font>
    <font>
      <b/>
      <sz val="11"/>
      <color rgb="FFFF0000"/>
      <name val="Calibri"/>
      <family val="2"/>
      <scheme val="minor"/>
    </font>
    <font>
      <sz val="15"/>
      <color rgb="FFFF0000"/>
      <name val="Calibri"/>
      <family val="2"/>
      <scheme val="minor"/>
    </font>
    <font>
      <b/>
      <sz val="14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166" fontId="0" fillId="0" borderId="0" xfId="1" applyNumberFormat="1" applyFont="1" applyAlignment="1">
      <alignment wrapText="1"/>
    </xf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2" xfId="1" applyNumberFormat="1" applyFont="1" applyBorder="1" applyAlignment="1">
      <alignment wrapText="1"/>
    </xf>
    <xf numFmtId="9" fontId="0" fillId="0" borderId="0" xfId="2" applyFont="1"/>
    <xf numFmtId="166" fontId="0" fillId="0" borderId="0" xfId="1" applyNumberFormat="1" applyFont="1" applyBorder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wrapText="1"/>
    </xf>
    <xf numFmtId="166" fontId="2" fillId="0" borderId="0" xfId="1" applyNumberFormat="1" applyFont="1"/>
    <xf numFmtId="166" fontId="2" fillId="0" borderId="0" xfId="1" applyNumberFormat="1" applyFont="1" applyAlignment="1">
      <alignment horizontal="center"/>
    </xf>
    <xf numFmtId="166" fontId="2" fillId="0" borderId="1" xfId="1" applyNumberFormat="1" applyFont="1" applyBorder="1"/>
    <xf numFmtId="166" fontId="2" fillId="0" borderId="0" xfId="1" applyNumberFormat="1" applyFont="1" applyAlignment="1">
      <alignment horizontal="center" wrapText="1"/>
    </xf>
    <xf numFmtId="166" fontId="0" fillId="0" borderId="5" xfId="1" applyNumberFormat="1" applyFont="1" applyBorder="1"/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6" xfId="1" applyNumberFormat="1" applyFont="1" applyBorder="1"/>
    <xf numFmtId="167" fontId="0" fillId="0" borderId="0" xfId="1" applyNumberFormat="1" applyFont="1"/>
    <xf numFmtId="166" fontId="0" fillId="0" borderId="2" xfId="1" applyNumberFormat="1" applyFont="1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168" fontId="0" fillId="0" borderId="0" xfId="1" applyNumberFormat="1" applyFont="1" applyAlignment="1"/>
    <xf numFmtId="169" fontId="0" fillId="0" borderId="0" xfId="0" applyNumberFormat="1"/>
    <xf numFmtId="0" fontId="0" fillId="0" borderId="0" xfId="0" applyAlignment="1">
      <alignment horizontal="center" wrapText="1"/>
    </xf>
    <xf numFmtId="168" fontId="0" fillId="0" borderId="0" xfId="1" applyNumberFormat="1" applyFont="1" applyBorder="1" applyAlignment="1"/>
    <xf numFmtId="168" fontId="0" fillId="0" borderId="0" xfId="0" applyNumberFormat="1"/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168" fontId="0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164" fontId="0" fillId="0" borderId="0" xfId="1" applyNumberFormat="1" applyFont="1"/>
    <xf numFmtId="0" fontId="2" fillId="0" borderId="0" xfId="0" applyFont="1" applyAlignment="1">
      <alignment horizontal="center"/>
    </xf>
    <xf numFmtId="170" fontId="0" fillId="0" borderId="0" xfId="0" applyNumberFormat="1"/>
    <xf numFmtId="164" fontId="2" fillId="0" borderId="0" xfId="1" applyNumberFormat="1" applyFont="1"/>
    <xf numFmtId="43" fontId="0" fillId="0" borderId="0" xfId="0" applyNumberFormat="1"/>
    <xf numFmtId="164" fontId="7" fillId="0" borderId="0" xfId="1" applyNumberFormat="1" applyFont="1"/>
    <xf numFmtId="3" fontId="11" fillId="2" borderId="10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0" fillId="2" borderId="0" xfId="0" applyFill="1"/>
    <xf numFmtId="0" fontId="9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top" wrapText="1"/>
    </xf>
    <xf numFmtId="168" fontId="2" fillId="2" borderId="0" xfId="1" applyNumberFormat="1" applyFont="1" applyFill="1"/>
    <xf numFmtId="0" fontId="2" fillId="2" borderId="0" xfId="0" applyFont="1" applyFill="1"/>
    <xf numFmtId="168" fontId="0" fillId="2" borderId="0" xfId="1" applyNumberFormat="1" applyFont="1" applyFill="1"/>
    <xf numFmtId="0" fontId="9" fillId="2" borderId="7" xfId="0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vertical="center" wrapText="1"/>
    </xf>
    <xf numFmtId="171" fontId="0" fillId="2" borderId="0" xfId="1" applyNumberFormat="1" applyFont="1" applyFill="1" applyAlignment="1">
      <alignment horizontal="center"/>
    </xf>
    <xf numFmtId="3" fontId="9" fillId="2" borderId="10" xfId="0" applyNumberFormat="1" applyFont="1" applyFill="1" applyBorder="1" applyAlignment="1">
      <alignment horizontal="right" vertical="center" wrapText="1"/>
    </xf>
    <xf numFmtId="168" fontId="0" fillId="2" borderId="0" xfId="0" applyNumberFormat="1" applyFill="1"/>
    <xf numFmtId="0" fontId="8" fillId="2" borderId="0" xfId="0" applyFont="1" applyFill="1"/>
    <xf numFmtId="168" fontId="8" fillId="2" borderId="0" xfId="1" applyNumberFormat="1" applyFont="1" applyFill="1"/>
    <xf numFmtId="0" fontId="13" fillId="2" borderId="0" xfId="0" applyFont="1" applyFill="1"/>
    <xf numFmtId="3" fontId="11" fillId="2" borderId="9" xfId="0" applyNumberFormat="1" applyFont="1" applyFill="1" applyBorder="1" applyAlignment="1">
      <alignment horizontal="left" vertical="center" wrapText="1"/>
    </xf>
    <xf numFmtId="168" fontId="13" fillId="2" borderId="0" xfId="1" applyNumberFormat="1" applyFont="1" applyFill="1"/>
    <xf numFmtId="171" fontId="2" fillId="2" borderId="0" xfId="1" applyNumberFormat="1" applyFont="1" applyFill="1" applyAlignment="1">
      <alignment horizontal="center"/>
    </xf>
    <xf numFmtId="3" fontId="0" fillId="2" borderId="0" xfId="0" applyNumberFormat="1" applyFill="1"/>
    <xf numFmtId="0" fontId="11" fillId="2" borderId="11" xfId="0" applyFont="1" applyFill="1" applyBorder="1" applyAlignment="1">
      <alignment vertical="center" wrapText="1"/>
    </xf>
    <xf numFmtId="172" fontId="9" fillId="2" borderId="11" xfId="1" applyNumberFormat="1" applyFont="1" applyFill="1" applyBorder="1" applyAlignment="1">
      <alignment horizontal="right" vertical="center" wrapText="1"/>
    </xf>
    <xf numFmtId="168" fontId="1" fillId="2" borderId="0" xfId="1" applyNumberFormat="1" applyFont="1" applyFill="1"/>
    <xf numFmtId="172" fontId="11" fillId="2" borderId="11" xfId="1" applyNumberFormat="1" applyFont="1" applyFill="1" applyBorder="1" applyAlignment="1">
      <alignment horizontal="right" vertical="center" wrapText="1"/>
    </xf>
    <xf numFmtId="172" fontId="0" fillId="2" borderId="0" xfId="0" applyNumberFormat="1" applyFill="1"/>
    <xf numFmtId="168" fontId="14" fillId="2" borderId="0" xfId="0" applyNumberFormat="1" applyFont="1" applyFill="1"/>
    <xf numFmtId="166" fontId="2" fillId="2" borderId="0" xfId="1" applyNumberFormat="1" applyFont="1" applyFill="1"/>
    <xf numFmtId="166" fontId="0" fillId="2" borderId="0" xfId="1" applyNumberFormat="1" applyFont="1" applyFill="1"/>
    <xf numFmtId="166" fontId="0" fillId="2" borderId="0" xfId="0" applyNumberFormat="1" applyFill="1"/>
    <xf numFmtId="167" fontId="2" fillId="0" borderId="0" xfId="1" applyNumberFormat="1" applyFont="1"/>
    <xf numFmtId="166" fontId="0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E28" sqref="E28"/>
    </sheetView>
  </sheetViews>
  <sheetFormatPr defaultRowHeight="14.5" x14ac:dyDescent="0.35"/>
  <cols>
    <col min="3" max="3" width="30.54296875" customWidth="1"/>
  </cols>
  <sheetData>
    <row r="1" spans="1:5" ht="37" customHeight="1" thickBot="1" x14ac:dyDescent="0.4">
      <c r="A1" s="83" t="s">
        <v>171</v>
      </c>
      <c r="B1" s="84"/>
      <c r="C1" s="84"/>
      <c r="D1" s="84"/>
      <c r="E1" s="85"/>
    </row>
    <row r="2" spans="1:5" ht="29.5" thickBot="1" x14ac:dyDescent="0.4">
      <c r="A2" s="76" t="s">
        <v>172</v>
      </c>
      <c r="B2" s="77" t="s">
        <v>173</v>
      </c>
      <c r="C2" s="90" t="s">
        <v>179</v>
      </c>
      <c r="D2" s="86" t="s">
        <v>80</v>
      </c>
      <c r="E2" s="87"/>
    </row>
    <row r="3" spans="1:5" ht="29.5" thickBot="1" x14ac:dyDescent="0.4">
      <c r="A3" s="78">
        <v>1</v>
      </c>
      <c r="B3" s="79" t="s">
        <v>174</v>
      </c>
      <c r="C3" s="92" t="s">
        <v>180</v>
      </c>
      <c r="D3" s="88">
        <v>2</v>
      </c>
      <c r="E3" s="89"/>
    </row>
    <row r="4" spans="1:5" ht="15" thickBot="1" x14ac:dyDescent="0.4">
      <c r="A4" s="78">
        <v>2</v>
      </c>
      <c r="B4" s="79" t="s">
        <v>175</v>
      </c>
      <c r="C4" s="92" t="s">
        <v>182</v>
      </c>
      <c r="D4" s="88">
        <v>2</v>
      </c>
      <c r="E4" s="89"/>
    </row>
    <row r="5" spans="1:5" ht="15" thickBot="1" x14ac:dyDescent="0.4">
      <c r="A5" s="78">
        <v>3</v>
      </c>
      <c r="B5" s="79" t="s">
        <v>174</v>
      </c>
      <c r="C5" s="91"/>
      <c r="D5" s="88">
        <v>2</v>
      </c>
      <c r="E5" s="89"/>
    </row>
    <row r="6" spans="1:5" ht="15" thickBot="1" x14ac:dyDescent="0.4">
      <c r="A6" s="78">
        <v>4</v>
      </c>
      <c r="B6" s="79" t="s">
        <v>174</v>
      </c>
      <c r="C6" s="91"/>
      <c r="D6" s="88">
        <v>2</v>
      </c>
      <c r="E6" s="89"/>
    </row>
    <row r="7" spans="1:5" ht="15" thickBot="1" x14ac:dyDescent="0.4">
      <c r="A7" s="78">
        <v>5</v>
      </c>
      <c r="B7" s="79" t="s">
        <v>176</v>
      </c>
      <c r="C7" s="91"/>
      <c r="D7" s="88">
        <v>2</v>
      </c>
      <c r="E7" s="89"/>
    </row>
    <row r="8" spans="1:5" ht="15" thickBot="1" x14ac:dyDescent="0.4">
      <c r="A8" s="78">
        <v>6</v>
      </c>
      <c r="B8" s="79" t="s">
        <v>176</v>
      </c>
      <c r="C8" s="91"/>
      <c r="D8" s="88">
        <v>2</v>
      </c>
      <c r="E8" s="89"/>
    </row>
    <row r="9" spans="1:5" ht="15" thickBot="1" x14ac:dyDescent="0.4">
      <c r="A9" s="78">
        <v>7</v>
      </c>
      <c r="B9" s="79" t="s">
        <v>174</v>
      </c>
      <c r="C9" s="91"/>
      <c r="D9" s="88">
        <v>2</v>
      </c>
      <c r="E9" s="89"/>
    </row>
    <row r="10" spans="1:5" ht="15" thickBot="1" x14ac:dyDescent="0.4">
      <c r="A10" s="78">
        <v>8</v>
      </c>
      <c r="B10" s="79" t="s">
        <v>175</v>
      </c>
      <c r="C10" s="91"/>
      <c r="D10" s="88">
        <v>2</v>
      </c>
      <c r="E10" s="89"/>
    </row>
    <row r="11" spans="1:5" ht="15" thickBot="1" x14ac:dyDescent="0.4">
      <c r="A11" s="78">
        <v>9</v>
      </c>
      <c r="B11" s="79" t="s">
        <v>176</v>
      </c>
      <c r="C11" s="91" t="s">
        <v>183</v>
      </c>
      <c r="D11" s="88">
        <v>2</v>
      </c>
      <c r="E11" s="89"/>
    </row>
    <row r="12" spans="1:5" ht="174.5" thickBot="1" x14ac:dyDescent="0.4">
      <c r="A12" s="78">
        <v>10</v>
      </c>
      <c r="B12" s="79" t="s">
        <v>177</v>
      </c>
      <c r="C12" s="91" t="s">
        <v>181</v>
      </c>
      <c r="D12" s="88">
        <v>2</v>
      </c>
      <c r="E12" s="89"/>
    </row>
    <row r="13" spans="1:5" ht="29.5" thickBot="1" x14ac:dyDescent="0.4">
      <c r="A13" s="78">
        <v>11</v>
      </c>
      <c r="B13" s="79" t="s">
        <v>176</v>
      </c>
      <c r="C13" s="91" t="s">
        <v>187</v>
      </c>
      <c r="D13" s="88">
        <v>2</v>
      </c>
      <c r="E13" s="89"/>
    </row>
    <row r="14" spans="1:5" ht="15" thickBot="1" x14ac:dyDescent="0.4">
      <c r="A14" s="78">
        <v>12</v>
      </c>
      <c r="B14" s="79" t="s">
        <v>176</v>
      </c>
      <c r="C14" s="91"/>
      <c r="D14" s="88">
        <v>2</v>
      </c>
      <c r="E14" s="89"/>
    </row>
    <row r="15" spans="1:5" ht="15" thickBot="1" x14ac:dyDescent="0.4">
      <c r="A15" s="78">
        <v>13</v>
      </c>
      <c r="B15" s="79" t="s">
        <v>175</v>
      </c>
      <c r="C15" s="91"/>
      <c r="D15" s="88">
        <v>2</v>
      </c>
      <c r="E15" s="89"/>
    </row>
    <row r="16" spans="1:5" ht="15" thickBot="1" x14ac:dyDescent="0.4">
      <c r="A16" s="78">
        <v>14</v>
      </c>
      <c r="B16" s="79" t="s">
        <v>174</v>
      </c>
      <c r="C16" s="91"/>
      <c r="D16" s="88">
        <v>2</v>
      </c>
      <c r="E16" s="89"/>
    </row>
    <row r="17" spans="1:5" ht="15" thickBot="1" x14ac:dyDescent="0.4">
      <c r="A17" s="78">
        <v>15</v>
      </c>
      <c r="B17" s="79" t="s">
        <v>175</v>
      </c>
      <c r="C17" s="91"/>
      <c r="D17" s="88">
        <v>2</v>
      </c>
      <c r="E17" s="89"/>
    </row>
    <row r="18" spans="1:5" ht="15" thickBot="1" x14ac:dyDescent="0.4">
      <c r="A18" s="78">
        <v>16</v>
      </c>
      <c r="B18" s="79" t="s">
        <v>177</v>
      </c>
      <c r="C18" s="92" t="s">
        <v>184</v>
      </c>
      <c r="D18" s="88">
        <v>2</v>
      </c>
      <c r="E18" s="89"/>
    </row>
    <row r="19" spans="1:5" ht="15" thickBot="1" x14ac:dyDescent="0.4">
      <c r="A19" s="78">
        <v>17</v>
      </c>
      <c r="B19" s="79" t="s">
        <v>176</v>
      </c>
      <c r="C19" s="91"/>
      <c r="D19" s="88">
        <v>2</v>
      </c>
      <c r="E19" s="89"/>
    </row>
    <row r="20" spans="1:5" ht="15" thickBot="1" x14ac:dyDescent="0.4">
      <c r="A20" s="78">
        <v>18</v>
      </c>
      <c r="B20" s="79" t="s">
        <v>176</v>
      </c>
      <c r="C20" s="91"/>
      <c r="D20" s="88">
        <v>2</v>
      </c>
      <c r="E20" s="89"/>
    </row>
    <row r="21" spans="1:5" ht="15" thickBot="1" x14ac:dyDescent="0.4">
      <c r="A21" s="78">
        <v>19</v>
      </c>
      <c r="B21" s="79" t="s">
        <v>176</v>
      </c>
      <c r="C21" s="91"/>
      <c r="D21" s="88">
        <v>2</v>
      </c>
      <c r="E21" s="89"/>
    </row>
    <row r="22" spans="1:5" ht="15" thickBot="1" x14ac:dyDescent="0.4">
      <c r="A22" s="78">
        <v>20</v>
      </c>
      <c r="B22" s="79" t="s">
        <v>174</v>
      </c>
      <c r="C22" s="91"/>
      <c r="D22" s="88">
        <v>2</v>
      </c>
      <c r="E22" s="89"/>
    </row>
    <row r="23" spans="1:5" ht="15" thickBot="1" x14ac:dyDescent="0.4">
      <c r="A23" s="78">
        <v>21</v>
      </c>
      <c r="B23" s="79" t="s">
        <v>177</v>
      </c>
      <c r="C23" s="91"/>
      <c r="D23" s="88">
        <v>2</v>
      </c>
      <c r="E23" s="89"/>
    </row>
    <row r="24" spans="1:5" ht="15" thickBot="1" x14ac:dyDescent="0.4">
      <c r="A24" s="78">
        <v>22</v>
      </c>
      <c r="B24" s="79" t="s">
        <v>175</v>
      </c>
      <c r="C24" s="91"/>
      <c r="D24" s="88">
        <v>2</v>
      </c>
      <c r="E24" s="89"/>
    </row>
    <row r="25" spans="1:5" ht="15" thickBot="1" x14ac:dyDescent="0.4">
      <c r="A25" s="78">
        <v>23</v>
      </c>
      <c r="B25" s="79" t="s">
        <v>176</v>
      </c>
      <c r="C25" s="91" t="s">
        <v>185</v>
      </c>
      <c r="D25" s="88">
        <v>2</v>
      </c>
      <c r="E25" s="89"/>
    </row>
    <row r="26" spans="1:5" ht="29.5" thickBot="1" x14ac:dyDescent="0.4">
      <c r="A26" s="78">
        <v>24</v>
      </c>
      <c r="B26" s="79" t="s">
        <v>174</v>
      </c>
      <c r="C26" s="91" t="s">
        <v>186</v>
      </c>
      <c r="D26" s="88">
        <v>2</v>
      </c>
      <c r="E26" s="89"/>
    </row>
    <row r="27" spans="1:5" ht="15" thickBot="1" x14ac:dyDescent="0.4">
      <c r="A27" s="78">
        <v>25</v>
      </c>
      <c r="B27" s="79" t="s">
        <v>177</v>
      </c>
      <c r="C27" s="91"/>
      <c r="D27" s="88">
        <v>2</v>
      </c>
      <c r="E27" s="89"/>
    </row>
    <row r="28" spans="1:5" x14ac:dyDescent="0.35">
      <c r="A28" s="81" t="s">
        <v>178</v>
      </c>
      <c r="B28" s="80"/>
      <c r="C28" s="80"/>
      <c r="E28" s="82">
        <v>50</v>
      </c>
    </row>
  </sheetData>
  <mergeCells count="27">
    <mergeCell ref="D25:E25"/>
    <mergeCell ref="D26:E26"/>
    <mergeCell ref="D27:E27"/>
    <mergeCell ref="D19:E19"/>
    <mergeCell ref="D20:E20"/>
    <mergeCell ref="D21:E21"/>
    <mergeCell ref="D22:E22"/>
    <mergeCell ref="D23:E23"/>
    <mergeCell ref="D24:E24"/>
    <mergeCell ref="D13:E13"/>
    <mergeCell ref="D14:E14"/>
    <mergeCell ref="D15:E15"/>
    <mergeCell ref="D16:E16"/>
    <mergeCell ref="D17:E17"/>
    <mergeCell ref="D18:E18"/>
    <mergeCell ref="D7:E7"/>
    <mergeCell ref="D8:E8"/>
    <mergeCell ref="D9:E9"/>
    <mergeCell ref="D10:E10"/>
    <mergeCell ref="D11:E11"/>
    <mergeCell ref="D12:E12"/>
    <mergeCell ref="A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opLeftCell="A67" workbookViewId="0">
      <selection activeCell="G77" sqref="G77:H77"/>
    </sheetView>
  </sheetViews>
  <sheetFormatPr defaultColWidth="9.08984375" defaultRowHeight="14.5" x14ac:dyDescent="0.35"/>
  <cols>
    <col min="1" max="1" width="9.08984375" style="2"/>
    <col min="2" max="2" width="40.453125" style="2" bestFit="1" customWidth="1"/>
    <col min="3" max="3" width="17" style="2" bestFit="1" customWidth="1"/>
    <col min="4" max="5" width="15.453125" style="2" customWidth="1"/>
    <col min="6" max="6" width="5.6328125" style="2" bestFit="1" customWidth="1"/>
    <col min="7" max="7" width="16.08984375" style="2" customWidth="1"/>
    <col min="8" max="8" width="9.08984375" style="17"/>
    <col min="9" max="16384" width="9.08984375" style="2"/>
  </cols>
  <sheetData>
    <row r="1" spans="2:8" ht="73.75" customHeight="1" x14ac:dyDescent="0.35">
      <c r="B1" s="12" t="s">
        <v>0</v>
      </c>
      <c r="C1" s="73" t="s">
        <v>37</v>
      </c>
      <c r="D1" s="73"/>
      <c r="E1" s="7" t="s">
        <v>34</v>
      </c>
      <c r="F1" s="7" t="s">
        <v>40</v>
      </c>
      <c r="G1" s="12" t="s">
        <v>23</v>
      </c>
      <c r="H1" s="17" t="s">
        <v>41</v>
      </c>
    </row>
    <row r="2" spans="2:8" x14ac:dyDescent="0.35">
      <c r="C2" s="10" t="s">
        <v>35</v>
      </c>
      <c r="D2" s="10" t="s">
        <v>36</v>
      </c>
    </row>
    <row r="3" spans="2:8" ht="15" thickBot="1" x14ac:dyDescent="0.4">
      <c r="C3" s="2" t="s">
        <v>2</v>
      </c>
      <c r="D3" s="2" t="s">
        <v>2</v>
      </c>
    </row>
    <row r="4" spans="2:8" x14ac:dyDescent="0.35">
      <c r="B4" s="9" t="s">
        <v>1</v>
      </c>
      <c r="G4" s="13"/>
    </row>
    <row r="5" spans="2:8" x14ac:dyDescent="0.35">
      <c r="B5" s="2" t="s">
        <v>3</v>
      </c>
      <c r="C5" s="2">
        <v>75810</v>
      </c>
      <c r="D5" s="2">
        <v>9890</v>
      </c>
      <c r="G5" s="14">
        <f>+C5+D5+E5</f>
        <v>85700</v>
      </c>
      <c r="H5" s="17">
        <v>0.5</v>
      </c>
    </row>
    <row r="6" spans="2:8" x14ac:dyDescent="0.35">
      <c r="B6" s="2" t="s">
        <v>24</v>
      </c>
      <c r="C6" s="2">
        <v>53280</v>
      </c>
      <c r="D6" s="2">
        <v>0</v>
      </c>
      <c r="E6" s="2">
        <f>-C6</f>
        <v>-53280</v>
      </c>
      <c r="F6" s="2">
        <v>5</v>
      </c>
      <c r="G6" s="14">
        <f>+C6+D6+E6</f>
        <v>0</v>
      </c>
      <c r="H6" s="17">
        <v>0.5</v>
      </c>
    </row>
    <row r="7" spans="2:8" x14ac:dyDescent="0.35">
      <c r="B7" s="2" t="s">
        <v>17</v>
      </c>
      <c r="E7" s="2">
        <f>+C64</f>
        <v>21580</v>
      </c>
      <c r="F7" s="2">
        <v>5</v>
      </c>
      <c r="G7" s="14">
        <f>+C7+D7+E7</f>
        <v>21580</v>
      </c>
      <c r="H7" s="17">
        <v>1</v>
      </c>
    </row>
    <row r="8" spans="2:8" x14ac:dyDescent="0.35">
      <c r="C8" s="3">
        <f>SUM(C5:C7)</f>
        <v>129090</v>
      </c>
      <c r="D8" s="3">
        <f>SUM(D5:D7)</f>
        <v>9890</v>
      </c>
      <c r="E8" s="3"/>
      <c r="F8" s="3"/>
      <c r="G8" s="15">
        <f>SUM(G5:G7)</f>
        <v>107280</v>
      </c>
    </row>
    <row r="9" spans="2:8" x14ac:dyDescent="0.35">
      <c r="G9" s="14"/>
    </row>
    <row r="10" spans="2:8" x14ac:dyDescent="0.35">
      <c r="B10" s="9" t="s">
        <v>4</v>
      </c>
      <c r="G10" s="14"/>
    </row>
    <row r="11" spans="2:8" x14ac:dyDescent="0.35">
      <c r="B11" s="2" t="s">
        <v>6</v>
      </c>
      <c r="C11" s="2">
        <v>29800</v>
      </c>
      <c r="D11" s="2">
        <v>31000</v>
      </c>
      <c r="G11" s="14">
        <f>+C11+D11+E11</f>
        <v>60800</v>
      </c>
      <c r="H11" s="17">
        <v>0.5</v>
      </c>
    </row>
    <row r="12" spans="2:8" x14ac:dyDescent="0.35">
      <c r="B12" s="2" t="s">
        <v>5</v>
      </c>
      <c r="C12" s="2">
        <v>32870</v>
      </c>
      <c r="D12" s="2">
        <v>20700</v>
      </c>
      <c r="E12" s="2">
        <f>-C49-C50</f>
        <v>-10400</v>
      </c>
      <c r="F12" s="2">
        <v>3</v>
      </c>
      <c r="G12" s="14">
        <f t="shared" ref="G12:G13" si="0">+C12+D12+E12</f>
        <v>43170</v>
      </c>
      <c r="H12" s="17">
        <v>0.5</v>
      </c>
    </row>
    <row r="13" spans="2:8" x14ac:dyDescent="0.35">
      <c r="B13" s="2" t="s">
        <v>7</v>
      </c>
      <c r="C13" s="2">
        <v>39636</v>
      </c>
      <c r="D13" s="2">
        <v>27300</v>
      </c>
      <c r="G13" s="14">
        <f t="shared" si="0"/>
        <v>66936</v>
      </c>
      <c r="H13" s="17">
        <v>0.5</v>
      </c>
    </row>
    <row r="14" spans="2:8" x14ac:dyDescent="0.35">
      <c r="C14" s="3">
        <f>SUM(C11:C13)</f>
        <v>102306</v>
      </c>
      <c r="D14" s="3">
        <f>SUM(D11:D13)</f>
        <v>79000</v>
      </c>
      <c r="E14" s="3"/>
      <c r="F14" s="3"/>
      <c r="G14" s="15">
        <f>SUM(G11:G13)</f>
        <v>170906</v>
      </c>
    </row>
    <row r="15" spans="2:8" x14ac:dyDescent="0.35">
      <c r="G15" s="14"/>
    </row>
    <row r="16" spans="2:8" x14ac:dyDescent="0.35">
      <c r="B16" s="9" t="s">
        <v>8</v>
      </c>
      <c r="C16" s="11">
        <f>C14+C8</f>
        <v>231396</v>
      </c>
      <c r="D16" s="11">
        <f>D14+D8</f>
        <v>88890</v>
      </c>
      <c r="E16" s="3"/>
      <c r="F16" s="3"/>
      <c r="G16" s="15">
        <f>G14+G8</f>
        <v>278186</v>
      </c>
    </row>
    <row r="17" spans="2:8" x14ac:dyDescent="0.35">
      <c r="G17" s="14"/>
    </row>
    <row r="18" spans="2:8" ht="29" x14ac:dyDescent="0.35">
      <c r="B18" s="8" t="s">
        <v>38</v>
      </c>
      <c r="G18" s="14"/>
    </row>
    <row r="19" spans="2:8" x14ac:dyDescent="0.35">
      <c r="B19" s="2" t="s">
        <v>9</v>
      </c>
      <c r="C19" s="2">
        <v>60000</v>
      </c>
      <c r="D19" s="2">
        <v>18000</v>
      </c>
      <c r="G19" s="14">
        <f>+C19</f>
        <v>60000</v>
      </c>
      <c r="H19" s="17">
        <v>1</v>
      </c>
    </row>
    <row r="20" spans="2:8" x14ac:dyDescent="0.35">
      <c r="B20" s="2" t="s">
        <v>10</v>
      </c>
      <c r="C20" s="2">
        <v>24400</v>
      </c>
      <c r="D20" s="2">
        <v>10300</v>
      </c>
      <c r="G20" s="14">
        <f>+C20</f>
        <v>24400</v>
      </c>
      <c r="H20" s="17">
        <v>0.5</v>
      </c>
    </row>
    <row r="21" spans="2:8" x14ac:dyDescent="0.35">
      <c r="B21" s="2" t="s">
        <v>11</v>
      </c>
      <c r="C21" s="2">
        <v>87150</v>
      </c>
      <c r="D21" s="2">
        <v>22830</v>
      </c>
      <c r="F21" s="2">
        <v>7</v>
      </c>
      <c r="G21" s="14">
        <f>+D75</f>
        <v>94854</v>
      </c>
      <c r="H21" s="17">
        <v>1</v>
      </c>
    </row>
    <row r="22" spans="2:8" x14ac:dyDescent="0.35">
      <c r="C22" s="3">
        <f>SUM(C19:C21)</f>
        <v>171550</v>
      </c>
      <c r="D22" s="3">
        <f>SUM(D19:D21)</f>
        <v>51130</v>
      </c>
      <c r="E22" s="3"/>
      <c r="F22" s="3"/>
      <c r="G22" s="15">
        <f>SUM(G19:G21)</f>
        <v>179254</v>
      </c>
    </row>
    <row r="23" spans="2:8" x14ac:dyDescent="0.35">
      <c r="C23" s="6"/>
      <c r="D23" s="6"/>
      <c r="E23" s="6"/>
      <c r="F23" s="6"/>
      <c r="G23" s="14"/>
    </row>
    <row r="24" spans="2:8" x14ac:dyDescent="0.35">
      <c r="B24" s="2" t="s">
        <v>19</v>
      </c>
      <c r="C24" s="6"/>
      <c r="D24" s="6"/>
      <c r="E24" s="6"/>
      <c r="F24" s="6">
        <v>6</v>
      </c>
      <c r="G24" s="14">
        <f>+D70</f>
        <v>11726</v>
      </c>
      <c r="H24" s="17">
        <v>1</v>
      </c>
    </row>
    <row r="25" spans="2:8" x14ac:dyDescent="0.35">
      <c r="G25" s="14"/>
    </row>
    <row r="26" spans="2:8" x14ac:dyDescent="0.35">
      <c r="B26" s="8" t="s">
        <v>12</v>
      </c>
      <c r="G26" s="14"/>
    </row>
    <row r="27" spans="2:8" x14ac:dyDescent="0.35">
      <c r="B27" s="2" t="s">
        <v>13</v>
      </c>
      <c r="C27" s="2">
        <v>22996</v>
      </c>
      <c r="D27" s="2">
        <v>0</v>
      </c>
      <c r="G27" s="14">
        <f t="shared" ref="G27:G31" si="1">+C27+D27+E27</f>
        <v>22996</v>
      </c>
    </row>
    <row r="28" spans="2:8" x14ac:dyDescent="0.35">
      <c r="C28" s="3">
        <f>SUM(C27)</f>
        <v>22996</v>
      </c>
      <c r="D28" s="3">
        <f>SUM(D27)</f>
        <v>0</v>
      </c>
      <c r="E28" s="3"/>
      <c r="F28" s="3"/>
      <c r="G28" s="15">
        <f t="shared" si="1"/>
        <v>22996</v>
      </c>
    </row>
    <row r="29" spans="2:8" x14ac:dyDescent="0.35">
      <c r="B29" s="8" t="s">
        <v>14</v>
      </c>
      <c r="G29" s="14"/>
    </row>
    <row r="30" spans="2:8" x14ac:dyDescent="0.35">
      <c r="B30" s="2" t="s">
        <v>15</v>
      </c>
      <c r="C30" s="2">
        <v>35270</v>
      </c>
      <c r="D30" s="2">
        <v>27700</v>
      </c>
      <c r="E30" s="2">
        <f>+E12</f>
        <v>-10400</v>
      </c>
      <c r="F30" s="2">
        <v>3</v>
      </c>
      <c r="G30" s="14">
        <f t="shared" si="1"/>
        <v>52570</v>
      </c>
      <c r="H30" s="17">
        <v>0.5</v>
      </c>
    </row>
    <row r="31" spans="2:8" x14ac:dyDescent="0.35">
      <c r="B31" s="1" t="s">
        <v>16</v>
      </c>
      <c r="C31" s="2">
        <v>1580</v>
      </c>
      <c r="D31" s="2">
        <v>10060</v>
      </c>
      <c r="G31" s="14">
        <f t="shared" si="1"/>
        <v>11640</v>
      </c>
      <c r="H31" s="17">
        <v>0.5</v>
      </c>
    </row>
    <row r="32" spans="2:8" x14ac:dyDescent="0.35">
      <c r="C32" s="3">
        <f>SUM(C30:C31)</f>
        <v>36850</v>
      </c>
      <c r="D32" s="3">
        <f>SUM(D30:D31)</f>
        <v>37760</v>
      </c>
      <c r="E32" s="3"/>
      <c r="F32" s="3"/>
      <c r="G32" s="15">
        <f>SUM(G30:G31)</f>
        <v>64210</v>
      </c>
    </row>
    <row r="33" spans="1:8" x14ac:dyDescent="0.35">
      <c r="G33" s="14"/>
    </row>
    <row r="34" spans="1:8" ht="29.5" thickBot="1" x14ac:dyDescent="0.4">
      <c r="B34" s="8" t="s">
        <v>39</v>
      </c>
      <c r="C34" s="3">
        <f>C32+C28+C22</f>
        <v>231396</v>
      </c>
      <c r="D34" s="3">
        <f>D32+D28+D22</f>
        <v>88890</v>
      </c>
      <c r="E34" s="3"/>
      <c r="F34" s="3"/>
      <c r="G34" s="16">
        <f>G32+G28+G22+G24</f>
        <v>278186</v>
      </c>
    </row>
    <row r="35" spans="1:8" x14ac:dyDescent="0.35">
      <c r="C35" s="2">
        <f>C34-C16</f>
        <v>0</v>
      </c>
      <c r="D35" s="2">
        <f>D34-D16</f>
        <v>0</v>
      </c>
      <c r="G35" s="2">
        <f>G34-G16</f>
        <v>0</v>
      </c>
    </row>
    <row r="36" spans="1:8" x14ac:dyDescent="0.35">
      <c r="E36" s="2" t="s">
        <v>44</v>
      </c>
      <c r="H36" s="17">
        <v>1</v>
      </c>
    </row>
    <row r="38" spans="1:8" x14ac:dyDescent="0.35">
      <c r="A38" s="2">
        <v>1</v>
      </c>
      <c r="B38" s="2" t="s">
        <v>28</v>
      </c>
    </row>
    <row r="39" spans="1:8" x14ac:dyDescent="0.35">
      <c r="B39" s="1"/>
    </row>
    <row r="40" spans="1:8" ht="29" x14ac:dyDescent="0.35">
      <c r="B40" s="1" t="s">
        <v>25</v>
      </c>
      <c r="C40" s="5">
        <v>0.8</v>
      </c>
      <c r="H40" s="17">
        <v>0.5</v>
      </c>
    </row>
    <row r="41" spans="1:8" x14ac:dyDescent="0.35">
      <c r="B41" s="1" t="s">
        <v>19</v>
      </c>
      <c r="C41" s="5">
        <v>0.2</v>
      </c>
    </row>
    <row r="42" spans="1:8" x14ac:dyDescent="0.35">
      <c r="B42" s="1"/>
      <c r="C42" s="5"/>
    </row>
    <row r="43" spans="1:8" x14ac:dyDescent="0.35">
      <c r="A43" s="2">
        <v>2</v>
      </c>
      <c r="B43" s="1" t="s">
        <v>43</v>
      </c>
      <c r="C43" s="5"/>
    </row>
    <row r="44" spans="1:8" ht="29" x14ac:dyDescent="0.35">
      <c r="B44" s="1"/>
      <c r="C44" s="4" t="s">
        <v>32</v>
      </c>
    </row>
    <row r="45" spans="1:8" x14ac:dyDescent="0.35">
      <c r="B45" s="1" t="s">
        <v>26</v>
      </c>
      <c r="C45" s="2">
        <v>13200</v>
      </c>
      <c r="H45" s="17">
        <v>0.5</v>
      </c>
    </row>
    <row r="46" spans="1:8" ht="29" x14ac:dyDescent="0.35">
      <c r="B46" s="1" t="s">
        <v>27</v>
      </c>
      <c r="C46" s="2">
        <v>9800</v>
      </c>
      <c r="H46" s="17">
        <v>0.5</v>
      </c>
    </row>
    <row r="47" spans="1:8" x14ac:dyDescent="0.35">
      <c r="B47" s="1"/>
      <c r="C47" s="2" t="s">
        <v>37</v>
      </c>
    </row>
    <row r="48" spans="1:8" x14ac:dyDescent="0.35">
      <c r="A48" s="2">
        <v>3</v>
      </c>
      <c r="B48" s="1" t="s">
        <v>46</v>
      </c>
    </row>
    <row r="49" spans="1:8" x14ac:dyDescent="0.35">
      <c r="B49" s="1" t="s">
        <v>47</v>
      </c>
      <c r="C49" s="2">
        <v>6700</v>
      </c>
      <c r="H49" s="17">
        <v>0.5</v>
      </c>
    </row>
    <row r="50" spans="1:8" x14ac:dyDescent="0.35">
      <c r="B50" s="1" t="s">
        <v>48</v>
      </c>
      <c r="C50" s="18">
        <f>9250*(100%-60%)</f>
        <v>3700</v>
      </c>
      <c r="H50" s="17">
        <v>1</v>
      </c>
    </row>
    <row r="51" spans="1:8" x14ac:dyDescent="0.35">
      <c r="B51" s="1"/>
      <c r="C51" s="2">
        <f>SUM(C49:C50)</f>
        <v>10400</v>
      </c>
    </row>
    <row r="52" spans="1:8" x14ac:dyDescent="0.35">
      <c r="B52" s="1"/>
    </row>
    <row r="53" spans="1:8" x14ac:dyDescent="0.35">
      <c r="A53" s="2">
        <v>4</v>
      </c>
      <c r="B53" s="2" t="s">
        <v>29</v>
      </c>
      <c r="C53" s="2" t="s">
        <v>30</v>
      </c>
      <c r="D53" s="2" t="s">
        <v>31</v>
      </c>
    </row>
    <row r="55" spans="1:8" x14ac:dyDescent="0.35">
      <c r="B55" s="2" t="str">
        <f>+B19</f>
        <v>Կանոնադրական կապիտալ</v>
      </c>
      <c r="C55" s="2">
        <f>+D55</f>
        <v>18000</v>
      </c>
      <c r="D55" s="2">
        <f>+D19</f>
        <v>18000</v>
      </c>
      <c r="H55" s="17">
        <v>0.5</v>
      </c>
    </row>
    <row r="56" spans="1:8" x14ac:dyDescent="0.35">
      <c r="B56" s="2" t="str">
        <f t="shared" ref="B56:B57" si="2">+B20</f>
        <v>Էմիսիոն եկամուտ</v>
      </c>
      <c r="C56" s="2">
        <f>+D56</f>
        <v>10300</v>
      </c>
      <c r="D56" s="2">
        <f>+D20</f>
        <v>10300</v>
      </c>
      <c r="H56" s="17">
        <v>0.5</v>
      </c>
    </row>
    <row r="57" spans="1:8" x14ac:dyDescent="0.35">
      <c r="B57" s="2" t="str">
        <f t="shared" si="2"/>
        <v>Չբաշխված շահույթ</v>
      </c>
      <c r="C57" s="2">
        <f>+C45</f>
        <v>13200</v>
      </c>
      <c r="D57" s="2">
        <f>+D21</f>
        <v>22830</v>
      </c>
      <c r="H57" s="17">
        <v>0.5</v>
      </c>
    </row>
    <row r="58" spans="1:8" x14ac:dyDescent="0.35">
      <c r="C58" s="3">
        <f>SUM(C55:C57)</f>
        <v>41500</v>
      </c>
      <c r="D58" s="3">
        <f>SUM(D55:D57)</f>
        <v>51130</v>
      </c>
      <c r="E58" s="6"/>
      <c r="F58" s="6"/>
      <c r="G58" s="6"/>
    </row>
    <row r="60" spans="1:8" x14ac:dyDescent="0.35">
      <c r="A60" s="2">
        <v>5</v>
      </c>
      <c r="B60" s="2" t="s">
        <v>17</v>
      </c>
    </row>
    <row r="61" spans="1:8" x14ac:dyDescent="0.35">
      <c r="B61" s="2" t="s">
        <v>18</v>
      </c>
      <c r="C61" s="2">
        <f>+C6</f>
        <v>53280</v>
      </c>
      <c r="H61" s="17">
        <v>0.5</v>
      </c>
    </row>
    <row r="62" spans="1:8" ht="29" x14ac:dyDescent="0.35">
      <c r="B62" s="1" t="str">
        <f>+B46</f>
        <v>Չվերահսկվող բաժնեմասի (20 տոկոս) իրական արժեք</v>
      </c>
      <c r="C62" s="2">
        <f>+C46</f>
        <v>9800</v>
      </c>
      <c r="H62" s="17">
        <v>0.5</v>
      </c>
    </row>
    <row r="63" spans="1:8" ht="29" x14ac:dyDescent="0.35">
      <c r="B63" s="1" t="s">
        <v>33</v>
      </c>
      <c r="C63" s="2">
        <f>-C58</f>
        <v>-41500</v>
      </c>
      <c r="H63" s="17">
        <v>0.5</v>
      </c>
    </row>
    <row r="64" spans="1:8" x14ac:dyDescent="0.35">
      <c r="B64" s="2" t="s">
        <v>17</v>
      </c>
      <c r="C64" s="3">
        <f>SUM(C61:C63)</f>
        <v>21580</v>
      </c>
    </row>
    <row r="67" spans="1:8" x14ac:dyDescent="0.35">
      <c r="A67" s="2">
        <v>6</v>
      </c>
      <c r="B67" s="1" t="s">
        <v>19</v>
      </c>
    </row>
    <row r="68" spans="1:8" x14ac:dyDescent="0.35">
      <c r="B68" s="1" t="s">
        <v>20</v>
      </c>
      <c r="D68" s="2">
        <f>+C46</f>
        <v>9800</v>
      </c>
      <c r="H68" s="17">
        <v>0.5</v>
      </c>
    </row>
    <row r="69" spans="1:8" x14ac:dyDescent="0.35">
      <c r="B69" s="2" t="s">
        <v>21</v>
      </c>
      <c r="D69" s="2">
        <f>(D57-C57)*C41</f>
        <v>1926</v>
      </c>
      <c r="H69" s="17">
        <v>1</v>
      </c>
    </row>
    <row r="70" spans="1:8" x14ac:dyDescent="0.35">
      <c r="D70" s="3">
        <f>SUM(D68:D69)</f>
        <v>11726</v>
      </c>
      <c r="E70" s="6"/>
      <c r="F70" s="6"/>
      <c r="G70" s="6"/>
    </row>
    <row r="72" spans="1:8" x14ac:dyDescent="0.35">
      <c r="A72" s="2">
        <v>7</v>
      </c>
      <c r="B72" s="2" t="s">
        <v>22</v>
      </c>
    </row>
    <row r="73" spans="1:8" x14ac:dyDescent="0.35">
      <c r="B73" s="2" t="s">
        <v>42</v>
      </c>
      <c r="D73" s="2">
        <f>+C21</f>
        <v>87150</v>
      </c>
      <c r="H73" s="17">
        <v>0.5</v>
      </c>
    </row>
    <row r="74" spans="1:8" x14ac:dyDescent="0.35">
      <c r="B74" s="2" t="s">
        <v>21</v>
      </c>
      <c r="D74" s="2">
        <f>(D57-C57)*C40</f>
        <v>7704</v>
      </c>
      <c r="H74" s="17">
        <v>1</v>
      </c>
    </row>
    <row r="75" spans="1:8" x14ac:dyDescent="0.35">
      <c r="D75" s="3">
        <f>SUM(D73:D74)</f>
        <v>94854</v>
      </c>
      <c r="E75" s="6"/>
      <c r="F75" s="6"/>
      <c r="G75" s="6"/>
    </row>
    <row r="77" spans="1:8" x14ac:dyDescent="0.35">
      <c r="G77" s="9" t="s">
        <v>45</v>
      </c>
      <c r="H77" s="72">
        <f>SUM(H4:H76)</f>
        <v>18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opLeftCell="E46" workbookViewId="0">
      <selection activeCell="I58" sqref="I58:M58"/>
    </sheetView>
  </sheetViews>
  <sheetFormatPr defaultRowHeight="14.5" x14ac:dyDescent="0.35"/>
  <cols>
    <col min="1" max="1" width="50" style="41" customWidth="1"/>
    <col min="2" max="2" width="18.1796875" style="41" customWidth="1"/>
    <col min="3" max="3" width="22.54296875" style="41" customWidth="1"/>
    <col min="4" max="4" width="8.7265625" style="41"/>
    <col min="5" max="5" width="10.54296875" style="41" customWidth="1"/>
    <col min="6" max="6" width="8.7265625" style="41"/>
    <col min="7" max="7" width="9.7265625" style="41" bestFit="1" customWidth="1"/>
    <col min="8" max="9" width="8.7265625" style="41"/>
    <col min="10" max="10" width="11.6328125" style="41" bestFit="1" customWidth="1"/>
    <col min="11" max="11" width="8.7265625" style="41"/>
    <col min="12" max="12" width="11.6328125" style="41" bestFit="1" customWidth="1"/>
    <col min="13" max="13" width="11.08984375" style="41" bestFit="1" customWidth="1"/>
    <col min="14" max="14" width="4.08984375" style="41" customWidth="1"/>
    <col min="15" max="15" width="4.90625" style="41" customWidth="1"/>
    <col min="16" max="18" width="8.7265625" style="41"/>
    <col min="19" max="19" width="10.81640625" style="41" bestFit="1" customWidth="1"/>
    <col min="20" max="21" width="8.7265625" style="41"/>
    <col min="22" max="22" width="9.90625" style="41" bestFit="1" customWidth="1"/>
    <col min="23" max="16384" width="8.7265625" style="41"/>
  </cols>
  <sheetData>
    <row r="1" spans="1:22" ht="15" thickBot="1" x14ac:dyDescent="0.4">
      <c r="A1" s="41" t="s">
        <v>166</v>
      </c>
      <c r="C1" s="42" t="s">
        <v>84</v>
      </c>
      <c r="F1" s="74" t="s">
        <v>85</v>
      </c>
      <c r="G1" s="74"/>
      <c r="H1" s="74"/>
      <c r="I1" s="74"/>
      <c r="J1" s="74"/>
      <c r="K1" s="43"/>
      <c r="L1" s="42" t="s">
        <v>84</v>
      </c>
      <c r="M1" s="45" t="s">
        <v>168</v>
      </c>
      <c r="P1" s="45" t="s">
        <v>86</v>
      </c>
      <c r="Q1" s="45" t="s">
        <v>87</v>
      </c>
      <c r="S1" s="46"/>
    </row>
    <row r="2" spans="1:22" ht="15" thickBot="1" x14ac:dyDescent="0.4">
      <c r="A2" s="47"/>
      <c r="B2" s="48" t="s">
        <v>88</v>
      </c>
      <c r="C2" s="48" t="s">
        <v>89</v>
      </c>
      <c r="F2" s="49" t="s">
        <v>90</v>
      </c>
      <c r="L2" s="46"/>
      <c r="P2" s="41" t="s">
        <v>91</v>
      </c>
      <c r="S2" s="46">
        <f>C26</f>
        <v>2050</v>
      </c>
    </row>
    <row r="3" spans="1:22" ht="15" thickBot="1" x14ac:dyDescent="0.4">
      <c r="A3" s="50" t="s">
        <v>92</v>
      </c>
      <c r="B3" s="51"/>
      <c r="C3" s="51"/>
      <c r="F3" s="41" t="s">
        <v>93</v>
      </c>
      <c r="L3" s="46">
        <f>B44</f>
        <v>6470</v>
      </c>
      <c r="M3" s="45">
        <v>0.25</v>
      </c>
      <c r="P3" s="41" t="s">
        <v>94</v>
      </c>
      <c r="S3" s="46">
        <f>-B45</f>
        <v>1300</v>
      </c>
      <c r="T3" s="45"/>
    </row>
    <row r="4" spans="1:22" ht="15" thickBot="1" x14ac:dyDescent="0.4">
      <c r="A4" s="50" t="s">
        <v>1</v>
      </c>
      <c r="B4" s="51"/>
      <c r="C4" s="51"/>
      <c r="F4" s="45" t="s">
        <v>95</v>
      </c>
      <c r="L4" s="46"/>
      <c r="P4" s="41" t="s">
        <v>96</v>
      </c>
      <c r="S4" s="46">
        <f>B26</f>
        <v>1100</v>
      </c>
    </row>
    <row r="5" spans="1:22" ht="15" thickBot="1" x14ac:dyDescent="0.4">
      <c r="A5" s="52" t="s">
        <v>3</v>
      </c>
      <c r="B5" s="39">
        <v>24280</v>
      </c>
      <c r="C5" s="39">
        <v>26010</v>
      </c>
      <c r="F5" s="41" t="s">
        <v>97</v>
      </c>
      <c r="L5" s="46">
        <f>-B35</f>
        <v>1730</v>
      </c>
      <c r="M5" s="45">
        <v>0.25</v>
      </c>
      <c r="N5" s="45"/>
      <c r="P5" s="41" t="s">
        <v>98</v>
      </c>
      <c r="S5" s="44">
        <f>+S2+S3-S4</f>
        <v>2250</v>
      </c>
      <c r="T5" s="45">
        <v>1</v>
      </c>
    </row>
    <row r="6" spans="1:22" ht="15" thickBot="1" x14ac:dyDescent="0.4">
      <c r="A6" s="52" t="s">
        <v>99</v>
      </c>
      <c r="B6" s="39">
        <v>3050</v>
      </c>
      <c r="C6" s="39">
        <v>3285</v>
      </c>
      <c r="F6" s="41" t="s">
        <v>100</v>
      </c>
      <c r="L6" s="46">
        <f>-B36</f>
        <v>235</v>
      </c>
      <c r="M6" s="45">
        <v>0.25</v>
      </c>
      <c r="S6" s="46"/>
    </row>
    <row r="7" spans="1:22" ht="15" thickBot="1" x14ac:dyDescent="0.4">
      <c r="A7" s="52" t="s">
        <v>101</v>
      </c>
      <c r="B7" s="39">
        <v>14000</v>
      </c>
      <c r="C7" s="39">
        <v>14650</v>
      </c>
      <c r="L7" s="53"/>
      <c r="M7" s="45"/>
      <c r="N7" s="45"/>
      <c r="P7" s="45" t="s">
        <v>102</v>
      </c>
      <c r="Q7" s="45" t="s">
        <v>103</v>
      </c>
      <c r="S7" s="46"/>
    </row>
    <row r="8" spans="1:22" ht="15" thickBot="1" x14ac:dyDescent="0.4">
      <c r="A8" s="52"/>
      <c r="B8" s="54">
        <v>41330</v>
      </c>
      <c r="C8" s="54">
        <v>43945</v>
      </c>
      <c r="L8" s="46"/>
      <c r="M8" s="45"/>
      <c r="P8" s="41" t="s">
        <v>104</v>
      </c>
      <c r="S8" s="46">
        <f>C19</f>
        <v>8700</v>
      </c>
      <c r="V8" s="55"/>
    </row>
    <row r="9" spans="1:22" ht="15" thickBot="1" x14ac:dyDescent="0.4">
      <c r="A9" s="50" t="s">
        <v>4</v>
      </c>
      <c r="B9" s="40"/>
      <c r="C9" s="40"/>
      <c r="F9" s="41" t="s">
        <v>105</v>
      </c>
      <c r="L9" s="46">
        <f>-B41</f>
        <v>500</v>
      </c>
      <c r="M9" s="45">
        <v>0.25</v>
      </c>
      <c r="P9" s="41" t="s">
        <v>106</v>
      </c>
      <c r="S9" s="46">
        <f>B46</f>
        <v>5170</v>
      </c>
      <c r="T9" s="45"/>
    </row>
    <row r="10" spans="1:22" ht="15" thickBot="1" x14ac:dyDescent="0.4">
      <c r="A10" s="52" t="s">
        <v>107</v>
      </c>
      <c r="B10" s="39">
        <v>4300</v>
      </c>
      <c r="C10" s="39">
        <v>1900</v>
      </c>
      <c r="F10" s="41" t="s">
        <v>108</v>
      </c>
      <c r="L10" s="46">
        <f>-B42</f>
        <v>-300</v>
      </c>
      <c r="M10" s="45">
        <v>0.25</v>
      </c>
      <c r="P10" s="41" t="s">
        <v>109</v>
      </c>
      <c r="S10" s="46">
        <f>B19</f>
        <v>9800</v>
      </c>
    </row>
    <row r="11" spans="1:22" ht="15" thickBot="1" x14ac:dyDescent="0.4">
      <c r="A11" s="52" t="s">
        <v>5</v>
      </c>
      <c r="B11" s="39">
        <v>7090</v>
      </c>
      <c r="C11" s="39">
        <v>5805</v>
      </c>
      <c r="F11" s="41" t="s">
        <v>110</v>
      </c>
      <c r="L11" s="46">
        <f>-B43</f>
        <v>650</v>
      </c>
      <c r="M11" s="45">
        <v>0.25</v>
      </c>
      <c r="P11" s="41" t="s">
        <v>111</v>
      </c>
      <c r="S11" s="44">
        <f>+S8+S9-S10</f>
        <v>4070</v>
      </c>
      <c r="T11" s="45">
        <v>1</v>
      </c>
    </row>
    <row r="12" spans="1:22" ht="15" thickBot="1" x14ac:dyDescent="0.4">
      <c r="A12" s="52" t="s">
        <v>7</v>
      </c>
      <c r="B12" s="39">
        <v>6580</v>
      </c>
      <c r="C12" s="40">
        <v>750</v>
      </c>
      <c r="L12" s="44">
        <f>+L3+L6+L7+L9+L10+L11+L5+L8</f>
        <v>9285</v>
      </c>
      <c r="P12" s="56"/>
      <c r="Q12" s="56"/>
      <c r="R12" s="56"/>
      <c r="S12" s="57"/>
    </row>
    <row r="13" spans="1:22" ht="15" thickBot="1" x14ac:dyDescent="0.4">
      <c r="A13" s="52"/>
      <c r="B13" s="54">
        <v>17970</v>
      </c>
      <c r="C13" s="54">
        <v>8455</v>
      </c>
      <c r="F13" s="41" t="s">
        <v>112</v>
      </c>
      <c r="L13" s="46">
        <f>C10-B10</f>
        <v>-2400</v>
      </c>
      <c r="M13" s="45">
        <v>0.5</v>
      </c>
      <c r="P13" s="45" t="s">
        <v>113</v>
      </c>
      <c r="Q13" s="45" t="s">
        <v>114</v>
      </c>
      <c r="S13" s="46"/>
    </row>
    <row r="14" spans="1:22" ht="15" thickBot="1" x14ac:dyDescent="0.4">
      <c r="A14" s="50" t="s">
        <v>115</v>
      </c>
      <c r="B14" s="54">
        <v>59300</v>
      </c>
      <c r="C14" s="54">
        <v>52400</v>
      </c>
      <c r="F14" s="41" t="s">
        <v>116</v>
      </c>
      <c r="L14" s="46">
        <f>C11-B11</f>
        <v>-1285</v>
      </c>
      <c r="M14" s="45">
        <v>0.5</v>
      </c>
      <c r="P14" s="41" t="s">
        <v>91</v>
      </c>
      <c r="S14" s="46">
        <f>C27</f>
        <v>50</v>
      </c>
    </row>
    <row r="15" spans="1:22" ht="15" thickBot="1" x14ac:dyDescent="0.4">
      <c r="A15" s="50"/>
      <c r="B15" s="54"/>
      <c r="C15" s="54"/>
      <c r="F15" s="41" t="s">
        <v>117</v>
      </c>
      <c r="L15" s="46">
        <f>-(C25-B25)</f>
        <v>-300</v>
      </c>
      <c r="M15" s="45">
        <v>0.5</v>
      </c>
      <c r="P15" s="41" t="s">
        <v>94</v>
      </c>
      <c r="S15" s="46">
        <f>-B41</f>
        <v>500</v>
      </c>
      <c r="T15" s="45"/>
    </row>
    <row r="16" spans="1:22" ht="15" thickBot="1" x14ac:dyDescent="0.4">
      <c r="A16" s="50" t="s">
        <v>118</v>
      </c>
      <c r="B16" s="51"/>
      <c r="C16" s="40"/>
      <c r="L16" s="44">
        <f>+L12+L13+L14+L15</f>
        <v>5300</v>
      </c>
      <c r="P16" s="41" t="s">
        <v>96</v>
      </c>
      <c r="S16" s="46">
        <f>B27</f>
        <v>100</v>
      </c>
    </row>
    <row r="17" spans="1:20" ht="29.5" thickBot="1" x14ac:dyDescent="0.4">
      <c r="A17" s="52" t="s">
        <v>119</v>
      </c>
      <c r="B17" s="39">
        <v>37000</v>
      </c>
      <c r="C17" s="39">
        <v>30000</v>
      </c>
      <c r="L17" s="46"/>
      <c r="P17" s="41" t="s">
        <v>98</v>
      </c>
      <c r="S17" s="44">
        <f>+S14+S15-S16</f>
        <v>450</v>
      </c>
      <c r="T17" s="45">
        <v>1</v>
      </c>
    </row>
    <row r="18" spans="1:20" ht="15" thickBot="1" x14ac:dyDescent="0.4">
      <c r="A18" s="52" t="s">
        <v>120</v>
      </c>
      <c r="B18" s="39">
        <v>4500</v>
      </c>
      <c r="C18" s="39">
        <v>4500</v>
      </c>
      <c r="F18" s="41" t="s">
        <v>121</v>
      </c>
      <c r="L18" s="46">
        <f>-S17</f>
        <v>-450</v>
      </c>
      <c r="M18" s="45">
        <v>0.25</v>
      </c>
      <c r="S18" s="46"/>
      <c r="T18" s="45"/>
    </row>
    <row r="19" spans="1:20" ht="15" thickBot="1" x14ac:dyDescent="0.4">
      <c r="A19" s="52" t="s">
        <v>122</v>
      </c>
      <c r="B19" s="39">
        <v>9800</v>
      </c>
      <c r="C19" s="39">
        <v>8700</v>
      </c>
      <c r="F19" s="41" t="s">
        <v>123</v>
      </c>
      <c r="L19" s="46">
        <f>-S5</f>
        <v>-2250</v>
      </c>
      <c r="M19" s="45">
        <v>0.25</v>
      </c>
      <c r="N19" s="45"/>
      <c r="P19" s="45"/>
      <c r="Q19" s="58"/>
      <c r="R19" s="56"/>
      <c r="S19" s="57"/>
      <c r="T19" s="56"/>
    </row>
    <row r="20" spans="1:20" ht="15" thickBot="1" x14ac:dyDescent="0.4">
      <c r="A20" s="52"/>
      <c r="B20" s="54">
        <v>51300</v>
      </c>
      <c r="C20" s="54">
        <v>43200</v>
      </c>
      <c r="F20" s="49" t="s">
        <v>124</v>
      </c>
      <c r="L20" s="44">
        <f>+L16+L18+L19</f>
        <v>2600</v>
      </c>
      <c r="M20" s="45"/>
      <c r="P20" s="56"/>
      <c r="Q20" s="56"/>
      <c r="R20" s="56"/>
      <c r="S20" s="57"/>
      <c r="T20" s="58"/>
    </row>
    <row r="21" spans="1:20" ht="15" thickBot="1" x14ac:dyDescent="0.4">
      <c r="A21" s="50" t="s">
        <v>12</v>
      </c>
      <c r="B21" s="40"/>
      <c r="C21" s="40"/>
      <c r="L21" s="46"/>
      <c r="P21" s="56"/>
      <c r="Q21" s="56"/>
      <c r="R21" s="56"/>
      <c r="S21" s="57"/>
      <c r="T21" s="56"/>
    </row>
    <row r="22" spans="1:20" ht="15" thickBot="1" x14ac:dyDescent="0.4">
      <c r="A22" s="59" t="s">
        <v>125</v>
      </c>
      <c r="B22" s="39">
        <v>3000</v>
      </c>
      <c r="C22" s="39">
        <v>3000</v>
      </c>
      <c r="F22" s="49" t="s">
        <v>126</v>
      </c>
      <c r="L22" s="46"/>
      <c r="P22" s="56"/>
      <c r="Q22" s="56"/>
      <c r="R22" s="56"/>
      <c r="S22" s="60"/>
      <c r="T22" s="45"/>
    </row>
    <row r="23" spans="1:20" ht="15" thickBot="1" x14ac:dyDescent="0.4">
      <c r="A23" s="52"/>
      <c r="B23" s="54">
        <v>3000</v>
      </c>
      <c r="C23" s="54">
        <v>3000</v>
      </c>
      <c r="F23" s="41" t="s">
        <v>127</v>
      </c>
      <c r="L23" s="53">
        <v>0</v>
      </c>
      <c r="M23" s="45"/>
    </row>
    <row r="24" spans="1:20" ht="15" thickBot="1" x14ac:dyDescent="0.4">
      <c r="A24" s="50" t="s">
        <v>14</v>
      </c>
      <c r="B24" s="40"/>
      <c r="C24" s="40"/>
      <c r="F24" s="41" t="s">
        <v>128</v>
      </c>
      <c r="L24" s="53">
        <v>0</v>
      </c>
      <c r="M24" s="45"/>
    </row>
    <row r="25" spans="1:20" ht="15" thickBot="1" x14ac:dyDescent="0.4">
      <c r="A25" s="52" t="s">
        <v>15</v>
      </c>
      <c r="B25" s="39">
        <v>3800</v>
      </c>
      <c r="C25" s="39">
        <v>4100</v>
      </c>
      <c r="F25" s="41" t="s">
        <v>129</v>
      </c>
      <c r="L25" s="53">
        <v>0</v>
      </c>
      <c r="M25" s="45"/>
      <c r="S25" s="46"/>
    </row>
    <row r="26" spans="1:20" ht="15" thickBot="1" x14ac:dyDescent="0.4">
      <c r="A26" s="52" t="s">
        <v>16</v>
      </c>
      <c r="B26" s="39">
        <v>1100</v>
      </c>
      <c r="C26" s="39">
        <v>2050</v>
      </c>
      <c r="F26" s="41" t="s">
        <v>130</v>
      </c>
      <c r="L26" s="53">
        <v>0</v>
      </c>
      <c r="M26" s="45"/>
    </row>
    <row r="27" spans="1:20" ht="15" thickBot="1" x14ac:dyDescent="0.4">
      <c r="A27" s="52" t="s">
        <v>131</v>
      </c>
      <c r="B27" s="40">
        <v>100</v>
      </c>
      <c r="C27" s="40">
        <v>50</v>
      </c>
      <c r="F27" s="41" t="s">
        <v>132</v>
      </c>
      <c r="L27" s="46">
        <v>300</v>
      </c>
      <c r="M27" s="45">
        <v>0.25</v>
      </c>
    </row>
    <row r="28" spans="1:20" ht="15" thickBot="1" x14ac:dyDescent="0.4">
      <c r="A28" s="52"/>
      <c r="B28" s="54">
        <v>5000</v>
      </c>
      <c r="C28" s="54">
        <v>6200</v>
      </c>
      <c r="F28" s="49" t="s">
        <v>133</v>
      </c>
      <c r="L28" s="61">
        <f>+L23+L24+L25+L26+L27</f>
        <v>300</v>
      </c>
      <c r="M28" s="45"/>
    </row>
    <row r="29" spans="1:20" ht="15" thickBot="1" x14ac:dyDescent="0.4">
      <c r="A29" s="52"/>
      <c r="B29" s="54">
        <v>59300</v>
      </c>
      <c r="C29" s="54">
        <v>52400</v>
      </c>
      <c r="L29" s="46"/>
    </row>
    <row r="30" spans="1:20" x14ac:dyDescent="0.35">
      <c r="B30" s="62"/>
      <c r="C30" s="62"/>
      <c r="L30" s="46"/>
    </row>
    <row r="31" spans="1:20" x14ac:dyDescent="0.35">
      <c r="A31" s="75"/>
      <c r="B31" s="42"/>
      <c r="F31" s="49" t="s">
        <v>134</v>
      </c>
      <c r="L31" s="46"/>
      <c r="S31" s="46"/>
    </row>
    <row r="32" spans="1:20" x14ac:dyDescent="0.35">
      <c r="A32" s="75"/>
      <c r="B32" s="42" t="s">
        <v>84</v>
      </c>
      <c r="F32" s="41" t="s">
        <v>135</v>
      </c>
      <c r="L32" s="46">
        <f>B17-C17</f>
        <v>7000</v>
      </c>
      <c r="M32" s="45">
        <v>0.5</v>
      </c>
      <c r="P32" s="45"/>
      <c r="Q32" s="45"/>
      <c r="S32" s="46"/>
    </row>
    <row r="33" spans="1:20" x14ac:dyDescent="0.35">
      <c r="A33" s="63" t="s">
        <v>136</v>
      </c>
      <c r="B33" s="64">
        <v>31900</v>
      </c>
      <c r="F33" s="41" t="s">
        <v>137</v>
      </c>
      <c r="L33" s="46">
        <f>-S11</f>
        <v>-4070</v>
      </c>
      <c r="M33" s="45">
        <v>0.25</v>
      </c>
      <c r="S33" s="46"/>
    </row>
    <row r="34" spans="1:20" x14ac:dyDescent="0.35">
      <c r="A34" s="63" t="s">
        <v>138</v>
      </c>
      <c r="B34" s="64">
        <v>-18300</v>
      </c>
      <c r="F34" s="49" t="s">
        <v>139</v>
      </c>
      <c r="G34" s="49"/>
      <c r="L34" s="61">
        <f>+L32+L33</f>
        <v>2930</v>
      </c>
      <c r="M34" s="45"/>
      <c r="S34" s="65"/>
    </row>
    <row r="35" spans="1:20" x14ac:dyDescent="0.35">
      <c r="A35" s="63" t="s">
        <v>140</v>
      </c>
      <c r="B35" s="66">
        <v>-1730</v>
      </c>
      <c r="C35" s="67"/>
      <c r="L35" s="46"/>
      <c r="S35" s="46"/>
      <c r="T35" s="45"/>
    </row>
    <row r="36" spans="1:20" x14ac:dyDescent="0.35">
      <c r="A36" s="63" t="s">
        <v>141</v>
      </c>
      <c r="B36" s="66">
        <v>-235</v>
      </c>
      <c r="C36" s="67"/>
      <c r="L36" s="46"/>
      <c r="S36" s="46"/>
      <c r="T36" s="45"/>
    </row>
    <row r="37" spans="1:20" x14ac:dyDescent="0.35">
      <c r="A37" s="63" t="s">
        <v>142</v>
      </c>
      <c r="B37" s="64">
        <f>B33+B34</f>
        <v>13600</v>
      </c>
      <c r="C37" s="67"/>
      <c r="F37" s="49" t="s">
        <v>143</v>
      </c>
      <c r="L37" s="44">
        <f>+L34+L28+L20</f>
        <v>5830</v>
      </c>
      <c r="M37" s="45"/>
      <c r="S37" s="46"/>
      <c r="T37" s="45"/>
    </row>
    <row r="38" spans="1:20" x14ac:dyDescent="0.35">
      <c r="A38" s="63" t="s">
        <v>144</v>
      </c>
      <c r="B38" s="66">
        <v>-2220</v>
      </c>
      <c r="C38" s="67"/>
      <c r="F38" s="41" t="s">
        <v>145</v>
      </c>
      <c r="L38" s="46">
        <f>C12</f>
        <v>750</v>
      </c>
      <c r="M38" s="45">
        <v>0.25</v>
      </c>
      <c r="S38" s="46"/>
    </row>
    <row r="39" spans="1:20" ht="19.5" x14ac:dyDescent="0.45">
      <c r="A39" s="63" t="s">
        <v>146</v>
      </c>
      <c r="B39" s="66">
        <v>-4080</v>
      </c>
      <c r="C39" s="67"/>
      <c r="F39" s="41" t="s">
        <v>147</v>
      </c>
      <c r="J39" s="68"/>
      <c r="K39" s="62"/>
      <c r="L39" s="46">
        <f>L37+L38</f>
        <v>6580</v>
      </c>
      <c r="M39" s="45">
        <v>0.25</v>
      </c>
      <c r="S39" s="44"/>
      <c r="T39" s="45"/>
    </row>
    <row r="40" spans="1:20" x14ac:dyDescent="0.35">
      <c r="A40" s="63" t="s">
        <v>148</v>
      </c>
      <c r="B40" s="66">
        <v>20</v>
      </c>
      <c r="C40" s="67"/>
      <c r="L40" s="46"/>
      <c r="S40" s="46"/>
    </row>
    <row r="41" spans="1:20" x14ac:dyDescent="0.35">
      <c r="A41" s="63" t="s">
        <v>149</v>
      </c>
      <c r="B41" s="66">
        <v>-500</v>
      </c>
      <c r="C41" s="67"/>
      <c r="F41" s="69" t="s">
        <v>150</v>
      </c>
      <c r="G41" s="69"/>
      <c r="H41" s="69"/>
      <c r="I41" s="45"/>
      <c r="J41" s="45"/>
      <c r="K41" s="45"/>
      <c r="L41" s="69"/>
      <c r="S41" s="46"/>
    </row>
    <row r="42" spans="1:20" x14ac:dyDescent="0.35">
      <c r="A42" s="63" t="s">
        <v>151</v>
      </c>
      <c r="B42" s="66">
        <v>300</v>
      </c>
      <c r="C42" s="67"/>
      <c r="F42" s="69" t="s">
        <v>152</v>
      </c>
      <c r="G42" s="69"/>
      <c r="H42" s="69"/>
      <c r="I42" s="45"/>
      <c r="J42" s="45"/>
      <c r="K42" s="45"/>
      <c r="L42" s="69"/>
      <c r="P42" s="58"/>
      <c r="Q42" s="58"/>
      <c r="R42" s="56"/>
      <c r="S42" s="57"/>
      <c r="T42" s="56"/>
    </row>
    <row r="43" spans="1:20" ht="29" x14ac:dyDescent="0.35">
      <c r="A43" s="63" t="s">
        <v>153</v>
      </c>
      <c r="B43" s="66">
        <v>-650</v>
      </c>
      <c r="C43" s="67"/>
      <c r="F43" s="69" t="s">
        <v>154</v>
      </c>
      <c r="G43" s="69"/>
      <c r="H43" s="69"/>
      <c r="I43" s="45"/>
      <c r="J43" s="45"/>
      <c r="K43" s="45"/>
      <c r="L43" s="69"/>
      <c r="P43" s="56"/>
      <c r="Q43" s="56"/>
      <c r="R43" s="56"/>
      <c r="S43" s="57"/>
      <c r="T43" s="58"/>
    </row>
    <row r="44" spans="1:20" x14ac:dyDescent="0.35">
      <c r="A44" s="63" t="s">
        <v>93</v>
      </c>
      <c r="B44" s="66">
        <f>SUM(B37:B43)</f>
        <v>6470</v>
      </c>
      <c r="C44" s="67"/>
    </row>
    <row r="45" spans="1:20" x14ac:dyDescent="0.35">
      <c r="A45" s="63" t="s">
        <v>155</v>
      </c>
      <c r="B45" s="66">
        <v>-1300</v>
      </c>
      <c r="C45" s="67"/>
    </row>
    <row r="46" spans="1:20" x14ac:dyDescent="0.35">
      <c r="A46" s="63" t="s">
        <v>156</v>
      </c>
      <c r="B46" s="66">
        <f>B44+B45</f>
        <v>5170</v>
      </c>
      <c r="C46" s="67"/>
    </row>
    <row r="47" spans="1:20" x14ac:dyDescent="0.35">
      <c r="A47" s="63" t="s">
        <v>157</v>
      </c>
      <c r="B47" s="66">
        <v>0</v>
      </c>
      <c r="C47" s="67"/>
      <c r="G47" s="70"/>
    </row>
    <row r="48" spans="1:20" x14ac:dyDescent="0.35">
      <c r="A48" s="63" t="s">
        <v>158</v>
      </c>
      <c r="B48" s="66">
        <f>+B46+B47</f>
        <v>5170</v>
      </c>
      <c r="C48" s="67"/>
      <c r="G48" s="70"/>
    </row>
    <row r="49" spans="1:13" x14ac:dyDescent="0.35">
      <c r="G49" s="71"/>
    </row>
    <row r="51" spans="1:13" x14ac:dyDescent="0.35">
      <c r="A51" s="41" t="s">
        <v>165</v>
      </c>
    </row>
    <row r="53" spans="1:13" x14ac:dyDescent="0.35">
      <c r="A53" s="45" t="s">
        <v>159</v>
      </c>
      <c r="B53" s="41" t="s">
        <v>160</v>
      </c>
      <c r="C53" s="62">
        <f>(C10+B10)/2/-B34*365</f>
        <v>61.830601092896174</v>
      </c>
      <c r="M53" s="41">
        <v>1</v>
      </c>
    </row>
    <row r="54" spans="1:13" x14ac:dyDescent="0.35">
      <c r="A54" s="45"/>
    </row>
    <row r="55" spans="1:13" x14ac:dyDescent="0.35">
      <c r="A55" s="45" t="s">
        <v>161</v>
      </c>
      <c r="B55" s="41" t="s">
        <v>162</v>
      </c>
      <c r="C55" s="62">
        <f>(C11+B11)/2/B33*365</f>
        <v>73.772335423197489</v>
      </c>
      <c r="M55" s="41">
        <v>1</v>
      </c>
    </row>
    <row r="56" spans="1:13" x14ac:dyDescent="0.35">
      <c r="A56" s="45"/>
    </row>
    <row r="57" spans="1:13" x14ac:dyDescent="0.35">
      <c r="A57" s="45" t="s">
        <v>163</v>
      </c>
      <c r="B57" s="41" t="s">
        <v>164</v>
      </c>
      <c r="C57" s="62">
        <f>(C25+B25)/2/-B34*365</f>
        <v>78.784153005464475</v>
      </c>
      <c r="M57" s="41">
        <v>1</v>
      </c>
    </row>
    <row r="58" spans="1:13" x14ac:dyDescent="0.35">
      <c r="I58" s="45" t="s">
        <v>167</v>
      </c>
      <c r="J58" s="45"/>
      <c r="K58" s="45"/>
      <c r="L58" s="45"/>
      <c r="M58" s="45">
        <f>M57+M55+M53+3+SUM(M3:M39)</f>
        <v>11</v>
      </c>
    </row>
  </sheetData>
  <mergeCells count="2">
    <mergeCell ref="F1:J1"/>
    <mergeCell ref="A31:A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selection activeCell="F1" sqref="F1"/>
    </sheetView>
  </sheetViews>
  <sheetFormatPr defaultRowHeight="14.5" x14ac:dyDescent="0.35"/>
  <cols>
    <col min="1" max="1" width="3" customWidth="1"/>
    <col min="2" max="2" width="20.6328125" customWidth="1"/>
    <col min="3" max="3" width="18.6328125" customWidth="1"/>
    <col min="4" max="4" width="7.81640625" style="19" customWidth="1"/>
    <col min="5" max="5" width="19.36328125" style="19" bestFit="1" customWidth="1"/>
    <col min="6" max="6" width="16.90625" customWidth="1"/>
    <col min="7" max="7" width="16.453125" customWidth="1"/>
    <col min="8" max="8" width="14.81640625" customWidth="1"/>
    <col min="9" max="9" width="16.81640625" customWidth="1"/>
    <col min="11" max="11" width="29.6328125" bestFit="1" customWidth="1"/>
    <col min="12" max="12" width="10.08984375" bestFit="1" customWidth="1"/>
  </cols>
  <sheetData>
    <row r="1" spans="1:12" ht="26.4" customHeight="1" x14ac:dyDescent="0.35">
      <c r="J1" t="s">
        <v>80</v>
      </c>
    </row>
    <row r="2" spans="1:12" x14ac:dyDescent="0.35">
      <c r="B2" s="20" t="s">
        <v>49</v>
      </c>
    </row>
    <row r="3" spans="1:12" x14ac:dyDescent="0.35">
      <c r="B3" t="s">
        <v>50</v>
      </c>
      <c r="C3" t="s">
        <v>51</v>
      </c>
      <c r="D3" s="19" t="s">
        <v>52</v>
      </c>
      <c r="F3" t="s">
        <v>53</v>
      </c>
      <c r="G3" t="s">
        <v>45</v>
      </c>
    </row>
    <row r="4" spans="1:12" x14ac:dyDescent="0.35">
      <c r="B4" t="s">
        <v>54</v>
      </c>
      <c r="C4" s="21" t="s">
        <v>55</v>
      </c>
      <c r="D4" s="19">
        <v>265</v>
      </c>
      <c r="F4" s="22">
        <v>20150</v>
      </c>
      <c r="L4" s="23"/>
    </row>
    <row r="5" spans="1:12" x14ac:dyDescent="0.35">
      <c r="F5" s="22"/>
      <c r="L5" s="23"/>
    </row>
    <row r="6" spans="1:12" x14ac:dyDescent="0.35">
      <c r="B6" t="s">
        <v>56</v>
      </c>
      <c r="C6" s="21" t="s">
        <v>57</v>
      </c>
      <c r="D6" s="19">
        <v>210</v>
      </c>
      <c r="E6" s="19" t="s">
        <v>58</v>
      </c>
      <c r="F6" s="22">
        <v>19350</v>
      </c>
      <c r="L6" s="23"/>
    </row>
    <row r="7" spans="1:12" x14ac:dyDescent="0.35">
      <c r="C7" s="21"/>
      <c r="F7" s="22"/>
      <c r="L7" s="23"/>
    </row>
    <row r="8" spans="1:12" x14ac:dyDescent="0.35">
      <c r="C8" s="21" t="s">
        <v>59</v>
      </c>
      <c r="D8" s="19">
        <v>325</v>
      </c>
      <c r="E8" s="19" t="s">
        <v>58</v>
      </c>
      <c r="F8" s="22">
        <v>20950</v>
      </c>
      <c r="L8" s="23"/>
    </row>
    <row r="9" spans="1:12" x14ac:dyDescent="0.35">
      <c r="C9" s="21"/>
      <c r="F9" s="22"/>
      <c r="L9" s="23"/>
    </row>
    <row r="10" spans="1:12" x14ac:dyDescent="0.35">
      <c r="B10" t="s">
        <v>60</v>
      </c>
      <c r="C10" s="21" t="s">
        <v>61</v>
      </c>
      <c r="D10" s="19">
        <v>375</v>
      </c>
      <c r="E10" s="19" t="s">
        <v>62</v>
      </c>
      <c r="F10" s="22">
        <v>24150</v>
      </c>
      <c r="L10" s="23"/>
    </row>
    <row r="11" spans="1:12" x14ac:dyDescent="0.35">
      <c r="C11" s="21"/>
      <c r="F11" s="22"/>
      <c r="L11" s="23"/>
    </row>
    <row r="12" spans="1:12" x14ac:dyDescent="0.35">
      <c r="C12" s="21" t="s">
        <v>63</v>
      </c>
      <c r="D12" s="19">
        <v>110</v>
      </c>
      <c r="E12" s="19" t="s">
        <v>62</v>
      </c>
      <c r="F12" s="22">
        <v>25750</v>
      </c>
      <c r="L12" s="23"/>
    </row>
    <row r="14" spans="1:12" x14ac:dyDescent="0.35">
      <c r="A14" t="s">
        <v>169</v>
      </c>
      <c r="B14" s="20" t="s">
        <v>64</v>
      </c>
    </row>
    <row r="15" spans="1:12" ht="29" x14ac:dyDescent="0.35">
      <c r="C15" s="19" t="s">
        <v>51</v>
      </c>
      <c r="D15" s="19" t="s">
        <v>65</v>
      </c>
      <c r="E15" s="24" t="s">
        <v>66</v>
      </c>
      <c r="F15" s="19" t="s">
        <v>67</v>
      </c>
      <c r="G15" s="24" t="s">
        <v>68</v>
      </c>
      <c r="H15" s="19"/>
      <c r="I15" s="19"/>
    </row>
    <row r="16" spans="1:12" x14ac:dyDescent="0.35">
      <c r="B16" t="s">
        <v>69</v>
      </c>
      <c r="C16" s="21" t="str">
        <f>+C4</f>
        <v>01 հունվար 2025</v>
      </c>
      <c r="E16" s="19">
        <f>D4</f>
        <v>265</v>
      </c>
      <c r="F16" s="25">
        <f>F4</f>
        <v>20150</v>
      </c>
      <c r="G16" s="26">
        <f>F16*E16</f>
        <v>5339750</v>
      </c>
      <c r="H16" s="27"/>
      <c r="I16" s="19"/>
      <c r="J16" s="19">
        <v>0.5</v>
      </c>
      <c r="K16" s="19" t="s">
        <v>81</v>
      </c>
      <c r="L16" s="28"/>
    </row>
    <row r="17" spans="1:12" x14ac:dyDescent="0.35">
      <c r="B17" t="s">
        <v>56</v>
      </c>
      <c r="C17" s="21" t="str">
        <f>+C6</f>
        <v>05 հունվար 2025</v>
      </c>
      <c r="D17" s="21">
        <f>+D6</f>
        <v>210</v>
      </c>
      <c r="E17" s="19">
        <f>+E16+D17</f>
        <v>475</v>
      </c>
      <c r="F17" s="25">
        <f>F6</f>
        <v>19350</v>
      </c>
      <c r="G17" s="26"/>
      <c r="H17" s="29"/>
      <c r="J17" s="19">
        <v>0.25</v>
      </c>
      <c r="K17" s="28"/>
    </row>
    <row r="18" spans="1:12" x14ac:dyDescent="0.35">
      <c r="B18" t="s">
        <v>60</v>
      </c>
      <c r="C18" s="21" t="str">
        <f>+C10</f>
        <v>14 մարտ 2025</v>
      </c>
      <c r="D18" s="21">
        <f>-D10</f>
        <v>-375</v>
      </c>
      <c r="E18" s="19">
        <f t="shared" ref="E18:E21" si="0">+E17+D18</f>
        <v>100</v>
      </c>
      <c r="F18" s="25"/>
      <c r="G18" s="26"/>
      <c r="H18" s="29"/>
      <c r="J18" s="19"/>
      <c r="K18" s="28"/>
      <c r="L18" s="23"/>
    </row>
    <row r="19" spans="1:12" x14ac:dyDescent="0.35">
      <c r="B19" t="s">
        <v>56</v>
      </c>
      <c r="C19" s="21" t="str">
        <f>+C8</f>
        <v>12 օգոստոս 2025</v>
      </c>
      <c r="D19" s="21">
        <f>+D8</f>
        <v>325</v>
      </c>
      <c r="E19" s="19">
        <f t="shared" si="0"/>
        <v>425</v>
      </c>
      <c r="F19" s="25">
        <f>F8</f>
        <v>20950</v>
      </c>
      <c r="G19" s="26"/>
      <c r="H19" s="29"/>
      <c r="J19" s="19">
        <v>0.25</v>
      </c>
      <c r="K19" s="28"/>
      <c r="L19" s="23"/>
    </row>
    <row r="20" spans="1:12" x14ac:dyDescent="0.35">
      <c r="B20" t="s">
        <v>60</v>
      </c>
      <c r="C20" s="21" t="str">
        <f>+C12</f>
        <v>24 դեկտեմբեր 2025</v>
      </c>
      <c r="D20" s="21">
        <f>-D12</f>
        <v>-110</v>
      </c>
      <c r="E20" s="19">
        <f t="shared" si="0"/>
        <v>315</v>
      </c>
      <c r="F20" s="25"/>
      <c r="G20" s="26"/>
      <c r="H20" s="29"/>
      <c r="J20" s="19"/>
      <c r="K20" s="28"/>
      <c r="L20" s="23"/>
    </row>
    <row r="21" spans="1:12" x14ac:dyDescent="0.35">
      <c r="B21" t="s">
        <v>70</v>
      </c>
      <c r="C21" s="21" t="s">
        <v>71</v>
      </c>
      <c r="E21" s="19">
        <f t="shared" si="0"/>
        <v>315</v>
      </c>
      <c r="F21" s="25">
        <f>F19</f>
        <v>20950</v>
      </c>
      <c r="G21" s="26">
        <f>F21*E21</f>
        <v>6599250</v>
      </c>
      <c r="H21" s="29"/>
      <c r="J21" s="19">
        <v>0.5</v>
      </c>
      <c r="K21" t="s">
        <v>83</v>
      </c>
      <c r="L21" s="28"/>
    </row>
    <row r="22" spans="1:12" x14ac:dyDescent="0.35">
      <c r="C22" s="21"/>
      <c r="F22" s="22"/>
      <c r="H22" s="29"/>
      <c r="J22" s="19"/>
      <c r="L22" s="28"/>
    </row>
    <row r="23" spans="1:12" x14ac:dyDescent="0.35">
      <c r="B23" s="30" t="s">
        <v>72</v>
      </c>
      <c r="C23" s="21"/>
      <c r="F23" s="22"/>
      <c r="H23" s="29"/>
      <c r="J23" s="19"/>
      <c r="L23" s="28"/>
    </row>
    <row r="24" spans="1:12" x14ac:dyDescent="0.35">
      <c r="B24" s="31" t="s">
        <v>73</v>
      </c>
      <c r="C24" s="21"/>
      <c r="F24" s="22"/>
      <c r="H24" s="29"/>
      <c r="J24" s="19">
        <v>0.5</v>
      </c>
      <c r="K24" t="s">
        <v>82</v>
      </c>
      <c r="L24" s="28"/>
    </row>
    <row r="25" spans="1:12" ht="15.5" x14ac:dyDescent="0.35">
      <c r="B25" s="32" t="s">
        <v>74</v>
      </c>
    </row>
    <row r="26" spans="1:12" x14ac:dyDescent="0.35">
      <c r="J26" s="20">
        <f>SUM(J16:J24)</f>
        <v>2</v>
      </c>
      <c r="K26" s="20" t="s">
        <v>41</v>
      </c>
    </row>
    <row r="27" spans="1:12" ht="50.4" customHeight="1" x14ac:dyDescent="0.35"/>
    <row r="28" spans="1:12" x14ac:dyDescent="0.35">
      <c r="A28" t="s">
        <v>170</v>
      </c>
      <c r="B28" s="20" t="s">
        <v>75</v>
      </c>
    </row>
    <row r="29" spans="1:12" ht="19.25" customHeight="1" x14ac:dyDescent="0.35">
      <c r="B29" s="20"/>
      <c r="C29" t="str">
        <f>+C15</f>
        <v>Ամսաթիվ</v>
      </c>
      <c r="D29" s="19" t="str">
        <f>+D15</f>
        <v>Շարժ</v>
      </c>
      <c r="E29" s="19" t="str">
        <f>+E15</f>
        <v>Մնացորդ    /տոննա/</v>
      </c>
      <c r="F29" t="s">
        <v>76</v>
      </c>
      <c r="G29" t="s">
        <v>77</v>
      </c>
      <c r="H29" t="s">
        <v>78</v>
      </c>
    </row>
    <row r="31" spans="1:12" x14ac:dyDescent="0.35">
      <c r="B31" t="s">
        <v>69</v>
      </c>
      <c r="C31" s="21" t="str">
        <f>+C4</f>
        <v>01 հունվար 2025</v>
      </c>
      <c r="E31" s="19">
        <f>+D4</f>
        <v>265</v>
      </c>
      <c r="F31" s="22">
        <f>+F4</f>
        <v>20150</v>
      </c>
      <c r="I31" s="33">
        <f>F31*E31</f>
        <v>5339750</v>
      </c>
      <c r="J31" s="19">
        <v>0.5</v>
      </c>
      <c r="K31" s="19" t="s">
        <v>81</v>
      </c>
    </row>
    <row r="32" spans="1:12" x14ac:dyDescent="0.35">
      <c r="B32" t="s">
        <v>56</v>
      </c>
      <c r="C32" s="21" t="str">
        <f>+C6</f>
        <v>05 հունվար 2025</v>
      </c>
      <c r="D32" s="19">
        <f>+D6</f>
        <v>210</v>
      </c>
      <c r="F32" s="22">
        <f>+F6</f>
        <v>19350</v>
      </c>
      <c r="I32" s="33">
        <f>F32*D32</f>
        <v>4063500</v>
      </c>
    </row>
    <row r="33" spans="2:11" x14ac:dyDescent="0.35">
      <c r="C33" s="21"/>
      <c r="E33" s="34">
        <f>E31+D32</f>
        <v>475</v>
      </c>
      <c r="G33" s="35">
        <f>+I33/E33</f>
        <v>19796.315789473683</v>
      </c>
      <c r="H33" s="35">
        <f>(E31*F31+D32*F32)/E33</f>
        <v>19796.315789473683</v>
      </c>
      <c r="I33" s="36">
        <f>I31+I32</f>
        <v>9403250</v>
      </c>
      <c r="J33" s="19">
        <v>0.5</v>
      </c>
      <c r="K33" s="35"/>
    </row>
    <row r="34" spans="2:11" x14ac:dyDescent="0.35">
      <c r="C34" s="21"/>
      <c r="E34" s="34"/>
      <c r="F34" s="22"/>
      <c r="H34" s="35"/>
      <c r="I34" s="33"/>
    </row>
    <row r="35" spans="2:11" x14ac:dyDescent="0.35">
      <c r="B35" t="s">
        <v>60</v>
      </c>
      <c r="C35" s="21" t="str">
        <f>+C10</f>
        <v>14 մարտ 2025</v>
      </c>
      <c r="D35" s="21">
        <f>-D10</f>
        <v>-375</v>
      </c>
      <c r="H35" s="22">
        <f>+G33</f>
        <v>19796.315789473683</v>
      </c>
      <c r="I35" s="33">
        <f>+H35*D35</f>
        <v>-7423618.421052631</v>
      </c>
    </row>
    <row r="36" spans="2:11" x14ac:dyDescent="0.35">
      <c r="C36" s="21"/>
      <c r="E36" s="34">
        <f>E33+D35</f>
        <v>100</v>
      </c>
      <c r="F36" s="22"/>
      <c r="G36" s="35">
        <f>+I36/E36</f>
        <v>19796.315789473691</v>
      </c>
      <c r="H36" s="35"/>
      <c r="I36" s="36">
        <f>I33+I35</f>
        <v>1979631.578947369</v>
      </c>
      <c r="J36" s="19">
        <v>0.5</v>
      </c>
    </row>
    <row r="37" spans="2:11" x14ac:dyDescent="0.35">
      <c r="C37" s="21"/>
      <c r="E37" s="34"/>
      <c r="F37" s="22"/>
      <c r="I37" s="36"/>
    </row>
    <row r="38" spans="2:11" x14ac:dyDescent="0.35">
      <c r="B38" t="s">
        <v>56</v>
      </c>
      <c r="C38" s="21" t="str">
        <f>+C8</f>
        <v>12 օգոստոս 2025</v>
      </c>
      <c r="D38" s="21">
        <f>+D8</f>
        <v>325</v>
      </c>
      <c r="F38" s="22">
        <f>+F8</f>
        <v>20950</v>
      </c>
      <c r="I38" s="33">
        <f>+F38*D38</f>
        <v>6808750</v>
      </c>
    </row>
    <row r="39" spans="2:11" x14ac:dyDescent="0.35">
      <c r="C39" s="21"/>
      <c r="E39" s="34">
        <f>E36+D38</f>
        <v>425</v>
      </c>
      <c r="F39" s="22"/>
      <c r="G39" s="35">
        <f>+I39/E39</f>
        <v>20678.544891640868</v>
      </c>
      <c r="H39" s="35"/>
      <c r="I39" s="36">
        <f>I36+I38</f>
        <v>8788381.578947369</v>
      </c>
      <c r="J39" s="19">
        <v>0.5</v>
      </c>
    </row>
    <row r="40" spans="2:11" x14ac:dyDescent="0.35">
      <c r="C40" s="21"/>
      <c r="E40" s="34"/>
      <c r="F40" s="22"/>
      <c r="H40" s="37"/>
      <c r="I40" s="33"/>
    </row>
    <row r="41" spans="2:11" x14ac:dyDescent="0.35">
      <c r="B41" t="s">
        <v>60</v>
      </c>
      <c r="C41" s="21" t="str">
        <f>+C12</f>
        <v>24 դեկտեմբեր 2025</v>
      </c>
      <c r="D41" s="21">
        <f>-D12</f>
        <v>-110</v>
      </c>
      <c r="F41" s="22"/>
      <c r="H41" s="35">
        <f>+G39</f>
        <v>20678.544891640868</v>
      </c>
      <c r="I41" s="33">
        <f>H41*D41</f>
        <v>-2274639.9380804952</v>
      </c>
    </row>
    <row r="42" spans="2:11" x14ac:dyDescent="0.35">
      <c r="C42" s="21"/>
      <c r="E42" s="34">
        <f>E39+D41</f>
        <v>315</v>
      </c>
      <c r="F42" s="22"/>
      <c r="G42" s="35">
        <f>+I42/E42</f>
        <v>20678.544891640868</v>
      </c>
      <c r="I42" s="36">
        <f>I41+I39</f>
        <v>6513741.6408668738</v>
      </c>
      <c r="J42" s="19">
        <v>0.5</v>
      </c>
      <c r="K42" t="s">
        <v>83</v>
      </c>
    </row>
    <row r="43" spans="2:11" x14ac:dyDescent="0.35">
      <c r="C43" s="21"/>
      <c r="E43" s="34"/>
      <c r="F43" s="22"/>
      <c r="I43" s="33"/>
    </row>
    <row r="44" spans="2:11" ht="15.5" x14ac:dyDescent="0.35">
      <c r="B44" t="s">
        <v>70</v>
      </c>
      <c r="C44" s="21" t="s">
        <v>71</v>
      </c>
      <c r="E44" s="19">
        <f>E42</f>
        <v>315</v>
      </c>
      <c r="F44" s="22"/>
      <c r="H44" s="37"/>
      <c r="I44" s="38">
        <f>I42</f>
        <v>6513741.6408668738</v>
      </c>
    </row>
    <row r="47" spans="2:11" x14ac:dyDescent="0.35">
      <c r="B47" s="30" t="s">
        <v>72</v>
      </c>
    </row>
    <row r="48" spans="2:11" ht="15.5" x14ac:dyDescent="0.35">
      <c r="B48" s="32" t="s">
        <v>79</v>
      </c>
      <c r="J48" s="19">
        <v>0.5</v>
      </c>
      <c r="K48" t="s">
        <v>82</v>
      </c>
    </row>
    <row r="51" spans="10:11" x14ac:dyDescent="0.35">
      <c r="J51" s="20">
        <f>SUM(J31:J48)</f>
        <v>3</v>
      </c>
      <c r="K51" s="20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Հարցեր</vt:lpstr>
      <vt:lpstr>Խ 1</vt:lpstr>
      <vt:lpstr>Խ 2</vt:lpstr>
      <vt:lpstr>Խ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Hayk Mnatsakanyan</dc:creator>
  <cp:lastModifiedBy>User</cp:lastModifiedBy>
  <cp:lastPrinted>2026-06-10T08:35:46Z</cp:lastPrinted>
  <dcterms:created xsi:type="dcterms:W3CDTF">2021-11-23T05:54:14Z</dcterms:created>
  <dcterms:modified xsi:type="dcterms:W3CDTF">2026-07-16T21:18:03Z</dcterms:modified>
</cp:coreProperties>
</file>