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en.Alaverdyan\OneDrive\CAAA_exam\Final_April_2026\"/>
    </mc:Choice>
  </mc:AlternateContent>
  <bookViews>
    <workbookView xWindow="0" yWindow="0" windowWidth="27570" windowHeight="12000"/>
  </bookViews>
  <sheets>
    <sheet name="Մայամի" sheetId="1" r:id="rId1"/>
    <sheet name="Վիենա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2" i="2" l="1"/>
  <c r="P31" i="2"/>
  <c r="P30" i="2"/>
  <c r="P29" i="2"/>
  <c r="P28" i="2"/>
  <c r="P27" i="2"/>
  <c r="P26" i="2"/>
  <c r="F32" i="2"/>
  <c r="F34" i="2" s="1"/>
  <c r="O28" i="2" s="1"/>
  <c r="P10" i="2"/>
  <c r="F27" i="2"/>
  <c r="F29" i="2" s="1"/>
  <c r="F19" i="2"/>
  <c r="F21" i="2" s="1"/>
  <c r="P6" i="2"/>
  <c r="P5" i="2"/>
  <c r="F11" i="2"/>
  <c r="P4" i="2"/>
  <c r="F42" i="2"/>
  <c r="F45" i="2" s="1"/>
  <c r="K30" i="2" s="1"/>
  <c r="K33" i="2" s="1"/>
  <c r="F17" i="2"/>
  <c r="F6" i="2"/>
  <c r="F7" i="2" s="1"/>
  <c r="P20" i="1"/>
  <c r="P30" i="1"/>
  <c r="P13" i="1"/>
  <c r="P12" i="1"/>
  <c r="P11" i="1"/>
  <c r="P6" i="1"/>
  <c r="P5" i="1"/>
  <c r="E22" i="1"/>
  <c r="E41" i="1" s="1"/>
  <c r="E20" i="1"/>
  <c r="E21" i="1" s="1"/>
  <c r="E32" i="1"/>
  <c r="A32" i="1"/>
  <c r="E28" i="1"/>
  <c r="E29" i="1" s="1"/>
  <c r="E39" i="1" s="1"/>
  <c r="E16" i="1"/>
  <c r="E33" i="1" s="1"/>
  <c r="E34" i="1" l="1"/>
  <c r="P21" i="1" s="1"/>
  <c r="P33" i="2"/>
  <c r="F46" i="2"/>
  <c r="L30" i="2" s="1"/>
  <c r="L33" i="2" s="1"/>
  <c r="P12" i="2"/>
  <c r="N32" i="2" s="1"/>
  <c r="F37" i="2"/>
  <c r="P16" i="2"/>
  <c r="M27" i="2"/>
  <c r="M33" i="2" s="1"/>
  <c r="P15" i="2"/>
  <c r="F43" i="2"/>
  <c r="F50" i="2" s="1"/>
  <c r="E23" i="1"/>
  <c r="P7" i="1" s="1"/>
  <c r="P16" i="1" s="1"/>
  <c r="E38" i="1"/>
  <c r="E42" i="1" s="1"/>
  <c r="P22" i="1" s="1"/>
  <c r="P23" i="1" l="1"/>
  <c r="P32" i="1" s="1"/>
  <c r="F51" i="2"/>
  <c r="N31" i="2" s="1"/>
  <c r="N33" i="2" s="1"/>
  <c r="P17" i="2"/>
  <c r="P19" i="2" s="1"/>
  <c r="O29" i="2"/>
  <c r="O33" i="2" s="1"/>
</calcChain>
</file>

<file path=xl/sharedStrings.xml><?xml version="1.0" encoding="utf-8"?>
<sst xmlns="http://schemas.openxmlformats.org/spreadsheetml/2006/main" count="172" uniqueCount="134">
  <si>
    <t>Մայամի Խումբ</t>
  </si>
  <si>
    <t>(ա) Մայամի Խմբի համախմբված ֆինանսական վիճակի մասին հաշվետվություն առ 31.12.2025թ</t>
  </si>
  <si>
    <t>80% վերահսկվող</t>
  </si>
  <si>
    <t>20% ՉԲ</t>
  </si>
  <si>
    <t>Դուստրը ձեռք է բերվել 6 ամիս առաջ</t>
  </si>
  <si>
    <t>Դուստրի ԶԱ</t>
  </si>
  <si>
    <t>Ձ/ա</t>
  </si>
  <si>
    <t>Հ/ա</t>
  </si>
  <si>
    <t>ԿԿ</t>
  </si>
  <si>
    <t>ՉՇ</t>
  </si>
  <si>
    <t>ԻԱ ճշտում</t>
  </si>
  <si>
    <t>Մաշվածություն</t>
  </si>
  <si>
    <t>ԻԱԱՀԱ ներդրումներ</t>
  </si>
  <si>
    <t>Զուտ փոփ.</t>
  </si>
  <si>
    <t>Ներդրում ասոցիացված կազմակերպությունում</t>
  </si>
  <si>
    <t>Կանխիկ</t>
  </si>
  <si>
    <t>Մայր-ի թողարկած բաժնետոմսերի ԻԱ</t>
  </si>
  <si>
    <t>Ներդրման ինքնարժեք</t>
  </si>
  <si>
    <t>Ետձեռքբերումային շահույթ</t>
  </si>
  <si>
    <t>Գուդվիլ</t>
  </si>
  <si>
    <t>Փոխանցված հատուցում</t>
  </si>
  <si>
    <t>ՉԲ ԻԱ</t>
  </si>
  <si>
    <t>Դի-ի ԶԱ</t>
  </si>
  <si>
    <t>Բացասական գուդվիլ</t>
  </si>
  <si>
    <t>Խմբի ԿՇ</t>
  </si>
  <si>
    <t>ՉԲ</t>
  </si>
  <si>
    <t>ՉԲ աճ</t>
  </si>
  <si>
    <t>Մայրի ԿՇ</t>
  </si>
  <si>
    <t>ներդրման աճ</t>
  </si>
  <si>
    <t>Բոստոնի ետձեռքբերումային աճ</t>
  </si>
  <si>
    <t>մլն դրամ</t>
  </si>
  <si>
    <t>ՀՄ (430,000 + 174,000 +24,000ԻԱ - 1,200 մաշվ)</t>
  </si>
  <si>
    <t>✦1</t>
  </si>
  <si>
    <t>Ներդրումներ (594,000 + 22,000 - 60,000 + 30,000 + 6,000 - 200,000)</t>
  </si>
  <si>
    <t>Ներդրում Բոստոնում</t>
  </si>
  <si>
    <t>✦2</t>
  </si>
  <si>
    <t>Ընթացիկ ակտիվներ</t>
  </si>
  <si>
    <t>Պաշարներ(122,600 + 45,000)</t>
  </si>
  <si>
    <t>Դեբիտորական պարտքեր (74,200 + 31,200 - 14,000 միջխմբային)</t>
  </si>
  <si>
    <t>Դրամական միջոցներ (2,600 + 18,400 + 4,000 ԴՄ ճանապարհին)</t>
  </si>
  <si>
    <t>Ընդամենը ակտիվներ</t>
  </si>
  <si>
    <t>Սեփական կապիտալ</t>
  </si>
  <si>
    <t>Ընթացիկ պարտավորություններ</t>
  </si>
  <si>
    <t>Կրեդիտորական պարտքեր (98,800 + 36,600 - 10,000 միջխմբ)</t>
  </si>
  <si>
    <t>Մայրի ԿԿ(540,000+30,000)</t>
  </si>
  <si>
    <t>Մայրի ԷԵ (30,000*3.6)</t>
  </si>
  <si>
    <t>ԿՇ</t>
  </si>
  <si>
    <t>Ընդամենը սեփական կապիտալ</t>
  </si>
  <si>
    <t>Ոչ ընթացիկ պարտավորություններ</t>
  </si>
  <si>
    <t>Վարկեր</t>
  </si>
  <si>
    <t>Ընդամենը ՍԿ և պարտավորություններ</t>
  </si>
  <si>
    <t>(բ)Միջխմբային մնացորդները վեարբերում են Խմբի անդամների միջև առկա հաշվեկշռային մնացորդներին:</t>
  </si>
  <si>
    <t>Համախմբման ժամանակ դրանք բացառվում են մեկ տնտեսական միավորի սկզբունքից ելնելով</t>
  </si>
  <si>
    <t>ինչը նշանակում է, որ Խմբի անդամները միմայնց չեն կարող պարտք լինել: Խմբի անդամները կարող են ունենալ</t>
  </si>
  <si>
    <t>դեբիտորական և կրեդիտորական պարտքեր միայն Խմբից դուրս:</t>
  </si>
  <si>
    <t>Չիրացված շահույթները Խմբի մակարդակով, քանի որ դրանք առաջանում են մայր կամ դուստր</t>
  </si>
  <si>
    <t>կազմակերպության մակարդակով: Դրանք բացառվում են մեկ տնտեսական միավորի սկզբունքով,</t>
  </si>
  <si>
    <t>քանի որ մայրի և դուստրի միջև չեն կարող շահույթներ առաջանալ:</t>
  </si>
  <si>
    <t>Միջխմբային վաճառքներից առաջացած պաշարներից չիրացված շահույթը բացառվում է</t>
  </si>
  <si>
    <t>Երբ այդ պաշարները վաճառվում են Խմբից դուրս, այդ ժամանակ շահույթը համարվում է իրացված</t>
  </si>
  <si>
    <t>✦3</t>
  </si>
  <si>
    <t>Վիենա</t>
  </si>
  <si>
    <t>Սխալ գրանցված հասույթ</t>
  </si>
  <si>
    <t>Ճիշտ հասույթ</t>
  </si>
  <si>
    <t>Հասույթի նվազեցում</t>
  </si>
  <si>
    <t>Ք1</t>
  </si>
  <si>
    <t>Հասույթ (7,531,010 - 616,000 Ք1)</t>
  </si>
  <si>
    <t>դրամ</t>
  </si>
  <si>
    <t>Ք2</t>
  </si>
  <si>
    <t>Վաճառքի գին</t>
  </si>
  <si>
    <t>Ինքնարժեք</t>
  </si>
  <si>
    <t>Նվազեցնել պաշարները 18,515 դրամով, ավելացնել վաճառքի ինքնարժեքը 18,515 դրամով</t>
  </si>
  <si>
    <t>Վաճառքի ինքնարժեք (4,893,154+ 18,515 Ք2)</t>
  </si>
  <si>
    <t>ա) ՇՎԱՀԱ հաշվետվություն 31.10.2025թ ավարտված տարվա համար</t>
  </si>
  <si>
    <t>Վարչական ծախսեր (255,426 + 6,000 Ք3 - 16,000 Ք4)</t>
  </si>
  <si>
    <t>Ք3</t>
  </si>
  <si>
    <t>Վաճառքից հասույթ</t>
  </si>
  <si>
    <t>Օտարումից վնաս</t>
  </si>
  <si>
    <t>Մնացած ներդրումների հաշվեկշռային արժեք</t>
  </si>
  <si>
    <t>Մնացած ներդրումների իրական արժեք</t>
  </si>
  <si>
    <t>Վերագնահատումից օգուտ</t>
  </si>
  <si>
    <t>Ք4</t>
  </si>
  <si>
    <t>Ծախսի հակադարձում</t>
  </si>
  <si>
    <t>ԻԱՇՎ բաժնետոմսերի հաշվեկշռային արժեք</t>
  </si>
  <si>
    <t>ԻԱԱՀԱ բաժնետոմսերի հաշվեկշռային արժեք</t>
  </si>
  <si>
    <t>ԻԱԱՀԱ բաժնետոմսերի իրական արժեք</t>
  </si>
  <si>
    <t>Վերաչափումից վնաս</t>
  </si>
  <si>
    <t>Իրացման ծախսեր</t>
  </si>
  <si>
    <t>Ներդրումային եկամուտ</t>
  </si>
  <si>
    <t>Ֆինանսական ծախսեր</t>
  </si>
  <si>
    <t>Այլ եկամուտ(30,302 + 17,800 Ք3)</t>
  </si>
  <si>
    <t>Շահութահարկի գծով ծախս</t>
  </si>
  <si>
    <t>Տարվա շահույթ</t>
  </si>
  <si>
    <t>ԱՀԱ</t>
  </si>
  <si>
    <t>ԻԱԱՀԱ ներդրումների վերագնահատումից վնաս (Ք4)</t>
  </si>
  <si>
    <t>Հողի և շենքի վերագնահատումից օգուտ (Ք5)</t>
  </si>
  <si>
    <t>Ք5</t>
  </si>
  <si>
    <t>Հողի և շենքի ՀԱ տարեվերջին</t>
  </si>
  <si>
    <t>Հողի և շենքի ԻԱ տարեվերջին</t>
  </si>
  <si>
    <t>Հետաձգված հարկ վերաչափման գծով (Ք5)</t>
  </si>
  <si>
    <t>Հետաձգված հարկ վերաչափման գծով</t>
  </si>
  <si>
    <t>Ընդամենը համապարփակ արդյունք</t>
  </si>
  <si>
    <t>բ) ՍԿՇՄ հաշվետվություն 31.10.2025թ ավարտված տարվա համար</t>
  </si>
  <si>
    <t>ԷԵ</t>
  </si>
  <si>
    <t>ՎՊ (Ներդրումներ)</t>
  </si>
  <si>
    <t>ՎՊ (ՀՄ)</t>
  </si>
  <si>
    <t>Սկզբնական մնացորդ</t>
  </si>
  <si>
    <t>Վերաչափումից վնաս (Ք4)</t>
  </si>
  <si>
    <t>Վերագնահատումից օգուտ (Ք5)</t>
  </si>
  <si>
    <t>Հետաձգված հարկ վերագնահատման գծով (Ք5)</t>
  </si>
  <si>
    <t>Ռայթերի թողարկում (Ք6)</t>
  </si>
  <si>
    <t>Ք6</t>
  </si>
  <si>
    <t>Սովորական բաժնետմոսեր տարեսկզբին</t>
  </si>
  <si>
    <t>3 ամիս անց թողարկում՝ 1:5</t>
  </si>
  <si>
    <t>ԿԿ ավելացում</t>
  </si>
  <si>
    <t>ԷԵ ավելացում</t>
  </si>
  <si>
    <t>Շահաբաժինների վճարում (Ք7)</t>
  </si>
  <si>
    <t>Ք7</t>
  </si>
  <si>
    <t>Ընդամենը բաժնետոմսեր</t>
  </si>
  <si>
    <t>Վճարված շահաբաժիններ</t>
  </si>
  <si>
    <t>Վերջնական մնացորդ</t>
  </si>
  <si>
    <t>Ընդամենը</t>
  </si>
  <si>
    <t>ՀՀ դրամ</t>
  </si>
  <si>
    <t>գ) Վերաներկայացված  1 ԲԸՇ բազային</t>
  </si>
  <si>
    <t>(3.2 x 5) + (1 x 1)  /   6  =   2.83</t>
  </si>
  <si>
    <t>(1) Հիփոթետիկ գին ռայթի թողարկումից հետո</t>
  </si>
  <si>
    <t>(2) Ռայթի գործակից</t>
  </si>
  <si>
    <t>3.2 / 2.83 = 1.13</t>
  </si>
  <si>
    <t>Վերաներկայացված ԲԸՇ = 0.4 x 2.83 / 3.2 = 0.35 դրամ</t>
  </si>
  <si>
    <t>✦1.5</t>
  </si>
  <si>
    <t>✦0.5</t>
  </si>
  <si>
    <t>✦2.5</t>
  </si>
  <si>
    <t xml:space="preserve"> </t>
  </si>
  <si>
    <t xml:space="preserve">Ոչ ընթացիկ ակտիվներ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</si>
</sst>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;\-"/>
  </numFmts>
  <fonts count="8">
    <font>
      <sz val="11"/>
      <color theme="1"/>
      <name val="Aptos Narrow"/>
      <family val="2"/>
      <scheme val="minor"/>
    </font>
    <font>
      <b/>
      <u/>
      <sz val="11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charset val="1"/>
    </font>
    <font>
      <sz val="10"/>
      <color rgb="FF000000"/>
      <name val="GHEA Grapalat"/>
      <family val="3"/>
    </font>
    <font>
      <b/>
      <sz val="9"/>
      <color rgb="FFC00000"/>
      <name val="GHEA Grapalat"/>
      <family val="3"/>
    </font>
    <font>
      <b/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D9D9D9"/>
        <bgColor rgb="FFD6E4F7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1" fillId="0" borderId="0" xfId="0" applyNumberFormat="1" applyFont="1"/>
    <xf numFmtId="164" fontId="5" fillId="2" borderId="0" xfId="1" applyNumberFormat="1" applyFont="1" applyFill="1" applyAlignment="1">
      <alignment horizontal="right" vertical="center"/>
    </xf>
    <xf numFmtId="164" fontId="5" fillId="3" borderId="0" xfId="1" applyNumberFormat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164" fontId="7" fillId="5" borderId="0" xfId="1" applyNumberFormat="1" applyFont="1" applyFill="1" applyAlignment="1">
      <alignment horizontal="right" vertical="center"/>
    </xf>
    <xf numFmtId="0" fontId="6" fillId="4" borderId="0" xfId="1" applyFont="1" applyFill="1" applyAlignment="1">
      <alignment horizontal="center" vertical="center"/>
    </xf>
    <xf numFmtId="0" fontId="3" fillId="0" borderId="0" xfId="0" applyFont="1"/>
    <xf numFmtId="37" fontId="2" fillId="0" borderId="0" xfId="0" applyNumberFormat="1" applyFont="1"/>
    <xf numFmtId="3" fontId="2" fillId="0" borderId="0" xfId="0" applyNumberFormat="1" applyFont="1" applyAlignment="1">
      <alignment horizontal="center"/>
    </xf>
    <xf numFmtId="37" fontId="2" fillId="0" borderId="1" xfId="0" applyNumberFormat="1" applyFont="1" applyBorder="1"/>
    <xf numFmtId="3" fontId="3" fillId="0" borderId="1" xfId="0" applyNumberFormat="1" applyFont="1" applyBorder="1"/>
    <xf numFmtId="37" fontId="2" fillId="0" borderId="2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/>
    <xf numFmtId="37" fontId="3" fillId="0" borderId="1" xfId="0" applyNumberFormat="1" applyFont="1" applyBorder="1"/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D1" zoomScaleNormal="100" workbookViewId="0">
      <selection activeCell="I4" sqref="I4"/>
    </sheetView>
  </sheetViews>
  <sheetFormatPr defaultColWidth="8.75" defaultRowHeight="16.5"/>
  <cols>
    <col min="1" max="3" width="8.75" style="2"/>
    <col min="4" max="4" width="8.875" style="3" bestFit="1" customWidth="1"/>
    <col min="5" max="5" width="9.125" style="3" bestFit="1" customWidth="1"/>
    <col min="6" max="15" width="8.75" style="2"/>
    <col min="16" max="16" width="10.75" style="3" bestFit="1" customWidth="1"/>
    <col min="17" max="16384" width="8.75" style="2"/>
  </cols>
  <sheetData>
    <row r="1" spans="1:17">
      <c r="A1" s="1" t="s">
        <v>0</v>
      </c>
    </row>
    <row r="2" spans="1:17">
      <c r="A2" s="1" t="s">
        <v>1</v>
      </c>
      <c r="Q2" s="2" t="s">
        <v>132</v>
      </c>
    </row>
    <row r="4" spans="1:17">
      <c r="A4" s="2" t="s">
        <v>2</v>
      </c>
      <c r="I4" s="1" t="s">
        <v>133</v>
      </c>
      <c r="P4" s="4" t="s">
        <v>30</v>
      </c>
    </row>
    <row r="5" spans="1:17">
      <c r="A5" s="2" t="s">
        <v>3</v>
      </c>
      <c r="I5" s="2" t="s">
        <v>31</v>
      </c>
      <c r="P5" s="3">
        <f>430000+174000+24000-1200</f>
        <v>626800</v>
      </c>
      <c r="Q5" s="12" t="s">
        <v>35</v>
      </c>
    </row>
    <row r="6" spans="1:17">
      <c r="A6" s="2" t="s">
        <v>4</v>
      </c>
      <c r="I6" s="2" t="s">
        <v>33</v>
      </c>
      <c r="P6" s="3">
        <f>594000+22000-60000+30000+6000-200000</f>
        <v>392000</v>
      </c>
      <c r="Q6" s="12" t="s">
        <v>60</v>
      </c>
    </row>
    <row r="7" spans="1:17">
      <c r="I7" s="2" t="s">
        <v>34</v>
      </c>
      <c r="P7" s="3">
        <f>E23</f>
        <v>200400</v>
      </c>
      <c r="Q7" s="12" t="s">
        <v>131</v>
      </c>
    </row>
    <row r="8" spans="1:17">
      <c r="A8" s="1" t="s">
        <v>5</v>
      </c>
    </row>
    <row r="9" spans="1:17">
      <c r="D9" s="4" t="s">
        <v>6</v>
      </c>
      <c r="E9" s="4" t="s">
        <v>7</v>
      </c>
    </row>
    <row r="10" spans="1:17">
      <c r="A10" s="2" t="s">
        <v>8</v>
      </c>
      <c r="D10" s="7">
        <v>80000</v>
      </c>
      <c r="E10" s="7">
        <v>80000</v>
      </c>
      <c r="I10" s="1" t="s">
        <v>36</v>
      </c>
    </row>
    <row r="11" spans="1:17">
      <c r="A11" s="2" t="s">
        <v>9</v>
      </c>
      <c r="D11" s="8">
        <v>173400</v>
      </c>
      <c r="E11" s="8">
        <v>163400</v>
      </c>
      <c r="I11" s="2" t="s">
        <v>37</v>
      </c>
      <c r="P11" s="3">
        <f>122600+45000</f>
        <v>167600</v>
      </c>
      <c r="Q11" s="12" t="s">
        <v>130</v>
      </c>
    </row>
    <row r="12" spans="1:17">
      <c r="A12" s="2" t="s">
        <v>10</v>
      </c>
      <c r="D12" s="7">
        <v>24000</v>
      </c>
      <c r="E12" s="7">
        <v>24000</v>
      </c>
      <c r="I12" s="2" t="s">
        <v>38</v>
      </c>
      <c r="P12" s="3">
        <f>74200+31200-14000</f>
        <v>91400</v>
      </c>
      <c r="Q12" s="12" t="s">
        <v>32</v>
      </c>
    </row>
    <row r="13" spans="1:17">
      <c r="A13" s="2" t="s">
        <v>11</v>
      </c>
      <c r="D13" s="9"/>
      <c r="E13" s="8">
        <v>-1200</v>
      </c>
      <c r="I13" s="2" t="s">
        <v>39</v>
      </c>
      <c r="P13" s="3">
        <f>2600+18400+4000</f>
        <v>25000</v>
      </c>
      <c r="Q13" s="12" t="s">
        <v>32</v>
      </c>
    </row>
    <row r="14" spans="1:17">
      <c r="A14" s="2" t="s">
        <v>12</v>
      </c>
      <c r="D14" s="10"/>
      <c r="E14" s="7">
        <v>6000</v>
      </c>
    </row>
    <row r="15" spans="1:17">
      <c r="D15" s="11">
        <v>277400</v>
      </c>
      <c r="E15" s="11">
        <v>272200</v>
      </c>
    </row>
    <row r="16" spans="1:17">
      <c r="D16" s="3" t="s">
        <v>13</v>
      </c>
      <c r="E16" s="3">
        <f>E15-D15</f>
        <v>-5200</v>
      </c>
      <c r="I16" s="1" t="s">
        <v>40</v>
      </c>
      <c r="P16" s="6">
        <f>SUM(P5:P15)</f>
        <v>1503200</v>
      </c>
    </row>
    <row r="18" spans="1:17">
      <c r="A18" s="1" t="s">
        <v>14</v>
      </c>
      <c r="I18" s="1" t="s">
        <v>41</v>
      </c>
    </row>
    <row r="19" spans="1:17">
      <c r="A19" s="2" t="s">
        <v>15</v>
      </c>
      <c r="E19" s="3">
        <v>60000</v>
      </c>
      <c r="I19" s="2" t="s">
        <v>44</v>
      </c>
      <c r="P19" s="3">
        <v>570000</v>
      </c>
      <c r="Q19" s="12" t="s">
        <v>129</v>
      </c>
    </row>
    <row r="20" spans="1:17">
      <c r="A20" s="2" t="s">
        <v>16</v>
      </c>
      <c r="E20" s="3">
        <f>30000*4.6</f>
        <v>138000</v>
      </c>
      <c r="I20" s="2" t="s">
        <v>45</v>
      </c>
      <c r="P20" s="3">
        <f>30000*3.6</f>
        <v>108000</v>
      </c>
      <c r="Q20" s="12" t="s">
        <v>32</v>
      </c>
    </row>
    <row r="21" spans="1:17">
      <c r="A21" s="2" t="s">
        <v>17</v>
      </c>
      <c r="E21" s="3">
        <f>SUM(E19:E20)</f>
        <v>198000</v>
      </c>
      <c r="I21" s="2" t="s">
        <v>25</v>
      </c>
      <c r="P21" s="3">
        <f>E34</f>
        <v>56960</v>
      </c>
      <c r="Q21" s="12" t="s">
        <v>32</v>
      </c>
    </row>
    <row r="22" spans="1:17">
      <c r="A22" s="2" t="s">
        <v>18</v>
      </c>
      <c r="E22" s="3">
        <f>12000*6/12*40%</f>
        <v>2400</v>
      </c>
      <c r="I22" s="2" t="s">
        <v>46</v>
      </c>
      <c r="P22" s="3">
        <f>E42</f>
        <v>476240</v>
      </c>
      <c r="Q22" s="12" t="s">
        <v>60</v>
      </c>
    </row>
    <row r="23" spans="1:17" ht="17.25" thickBot="1">
      <c r="E23" s="5">
        <f>SUM(E21:E22)</f>
        <v>200400</v>
      </c>
      <c r="I23" s="1" t="s">
        <v>47</v>
      </c>
      <c r="P23" s="6">
        <f>SUM(P19:P22)</f>
        <v>1211200</v>
      </c>
    </row>
    <row r="24" spans="1:17" ht="17.25" thickTop="1"/>
    <row r="25" spans="1:17">
      <c r="A25" s="1" t="s">
        <v>19</v>
      </c>
      <c r="I25" s="1" t="s">
        <v>48</v>
      </c>
    </row>
    <row r="26" spans="1:17">
      <c r="A26" s="2" t="s">
        <v>20</v>
      </c>
      <c r="E26" s="3">
        <v>200000</v>
      </c>
      <c r="I26" s="2" t="s">
        <v>49</v>
      </c>
      <c r="P26" s="3">
        <v>166600</v>
      </c>
      <c r="Q26" s="12" t="s">
        <v>130</v>
      </c>
    </row>
    <row r="27" spans="1:17">
      <c r="A27" s="2" t="s">
        <v>21</v>
      </c>
      <c r="E27" s="3">
        <v>58000</v>
      </c>
    </row>
    <row r="28" spans="1:17">
      <c r="A28" s="2" t="s">
        <v>22</v>
      </c>
      <c r="E28" s="3">
        <f>-D15</f>
        <v>-277400</v>
      </c>
    </row>
    <row r="29" spans="1:17" ht="17.25" thickBot="1">
      <c r="A29" s="2" t="s">
        <v>23</v>
      </c>
      <c r="E29" s="5">
        <f>SUM(E26:E28)</f>
        <v>-19400</v>
      </c>
      <c r="F29" s="2" t="s">
        <v>24</v>
      </c>
      <c r="I29" s="1" t="s">
        <v>42</v>
      </c>
    </row>
    <row r="30" spans="1:17" ht="17.25" thickTop="1">
      <c r="I30" s="2" t="s">
        <v>43</v>
      </c>
      <c r="P30" s="3">
        <f>98800+36600-10000</f>
        <v>125400</v>
      </c>
      <c r="Q30" s="12" t="s">
        <v>32</v>
      </c>
    </row>
    <row r="31" spans="1:17">
      <c r="A31" s="1" t="s">
        <v>25</v>
      </c>
    </row>
    <row r="32" spans="1:17">
      <c r="A32" s="2" t="str">
        <f>A27</f>
        <v>ՉԲ ԻԱ</v>
      </c>
      <c r="E32" s="3">
        <f>E27</f>
        <v>58000</v>
      </c>
      <c r="I32" s="1" t="s">
        <v>50</v>
      </c>
      <c r="P32" s="6">
        <f>P30+P23+P26</f>
        <v>1503200</v>
      </c>
    </row>
    <row r="33" spans="1:19">
      <c r="A33" s="2" t="s">
        <v>26</v>
      </c>
      <c r="E33" s="3">
        <f>E16*20%</f>
        <v>-1040</v>
      </c>
    </row>
    <row r="34" spans="1:19" ht="17.25" thickBot="1">
      <c r="E34" s="5">
        <f>SUM(E32:E33)</f>
        <v>56960</v>
      </c>
    </row>
    <row r="35" spans="1:19" ht="17.25" thickTop="1">
      <c r="I35" s="2" t="s">
        <v>51</v>
      </c>
    </row>
    <row r="36" spans="1:19">
      <c r="A36" s="1" t="s">
        <v>24</v>
      </c>
      <c r="I36" s="2" t="s">
        <v>52</v>
      </c>
    </row>
    <row r="37" spans="1:19">
      <c r="A37" s="2" t="s">
        <v>27</v>
      </c>
      <c r="E37" s="3">
        <v>428600</v>
      </c>
      <c r="I37" s="2" t="s">
        <v>53</v>
      </c>
    </row>
    <row r="38" spans="1:19">
      <c r="A38" s="2" t="s">
        <v>18</v>
      </c>
      <c r="E38" s="3">
        <f>E16*80%</f>
        <v>-4160</v>
      </c>
      <c r="I38" s="2" t="s">
        <v>54</v>
      </c>
      <c r="P38" s="12" t="s">
        <v>32</v>
      </c>
    </row>
    <row r="39" spans="1:19">
      <c r="A39" s="2" t="s">
        <v>23</v>
      </c>
      <c r="E39" s="3">
        <f>-E29</f>
        <v>19400</v>
      </c>
    </row>
    <row r="40" spans="1:19">
      <c r="A40" s="2" t="s">
        <v>28</v>
      </c>
      <c r="E40" s="3">
        <v>30000</v>
      </c>
      <c r="I40" s="2" t="s">
        <v>55</v>
      </c>
    </row>
    <row r="41" spans="1:19">
      <c r="A41" s="2" t="s">
        <v>29</v>
      </c>
      <c r="E41" s="3">
        <f>E22</f>
        <v>2400</v>
      </c>
      <c r="I41" s="2" t="s">
        <v>56</v>
      </c>
    </row>
    <row r="42" spans="1:19" ht="17.25" thickBot="1">
      <c r="E42" s="5">
        <f>SUM(E37:E41)</f>
        <v>476240</v>
      </c>
      <c r="I42" s="2" t="s">
        <v>57</v>
      </c>
    </row>
    <row r="43" spans="1:19" ht="17.25" thickTop="1">
      <c r="I43" s="2" t="s">
        <v>58</v>
      </c>
    </row>
    <row r="44" spans="1:19">
      <c r="I44" s="2" t="s">
        <v>59</v>
      </c>
      <c r="S44" s="1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G19" zoomScaleNormal="100" workbookViewId="0">
      <selection activeCell="P19" sqref="P19"/>
    </sheetView>
  </sheetViews>
  <sheetFormatPr defaultColWidth="8.75" defaultRowHeight="16.5"/>
  <cols>
    <col min="1" max="3" width="8.75" style="2"/>
    <col min="4" max="5" width="8.75" style="3"/>
    <col min="6" max="6" width="11.5" style="14" bestFit="1" customWidth="1"/>
    <col min="7" max="7" width="8.875" style="14" bestFit="1" customWidth="1"/>
    <col min="8" max="8" width="22.25" style="14" customWidth="1"/>
    <col min="9" max="9" width="10.875" style="2" customWidth="1"/>
    <col min="10" max="10" width="21.625" style="2" customWidth="1"/>
    <col min="11" max="11" width="14.375" style="2" customWidth="1"/>
    <col min="12" max="12" width="11.375" style="2" bestFit="1" customWidth="1"/>
    <col min="13" max="13" width="8.875" style="2" bestFit="1" customWidth="1"/>
    <col min="14" max="14" width="11.125" style="2" customWidth="1"/>
    <col min="15" max="15" width="9.625" style="2" bestFit="1" customWidth="1"/>
    <col min="16" max="16" width="12.375" style="3" customWidth="1"/>
    <col min="17" max="16384" width="8.75" style="2"/>
  </cols>
  <sheetData>
    <row r="1" spans="1:17">
      <c r="A1" s="13" t="s">
        <v>61</v>
      </c>
    </row>
    <row r="2" spans="1:17">
      <c r="A2" s="13"/>
      <c r="I2" s="1" t="s">
        <v>73</v>
      </c>
    </row>
    <row r="3" spans="1:17">
      <c r="P3" s="15" t="s">
        <v>67</v>
      </c>
    </row>
    <row r="4" spans="1:17">
      <c r="A4" s="13" t="s">
        <v>65</v>
      </c>
      <c r="I4" s="2" t="s">
        <v>66</v>
      </c>
      <c r="P4" s="3">
        <f>7531010-616000</f>
        <v>6915010</v>
      </c>
      <c r="Q4" s="12" t="s">
        <v>32</v>
      </c>
    </row>
    <row r="5" spans="1:17">
      <c r="A5" s="2" t="s">
        <v>62</v>
      </c>
      <c r="F5" s="14">
        <v>700000</v>
      </c>
      <c r="I5" s="2" t="s">
        <v>72</v>
      </c>
      <c r="P5" s="3">
        <f>-(4893154+18515)</f>
        <v>-4911669</v>
      </c>
      <c r="Q5" s="12" t="s">
        <v>35</v>
      </c>
    </row>
    <row r="6" spans="1:17">
      <c r="A6" s="2" t="s">
        <v>63</v>
      </c>
      <c r="F6" s="14">
        <f>12%*F5</f>
        <v>84000</v>
      </c>
      <c r="I6" s="2" t="s">
        <v>74</v>
      </c>
      <c r="P6" s="3">
        <f>-(255426+6000-16000 )</f>
        <v>-245426</v>
      </c>
      <c r="Q6" s="12" t="s">
        <v>35</v>
      </c>
    </row>
    <row r="7" spans="1:17" ht="17.25" thickBot="1">
      <c r="A7" s="2" t="s">
        <v>64</v>
      </c>
      <c r="F7" s="16">
        <f>F5-F6</f>
        <v>616000</v>
      </c>
      <c r="I7" s="2" t="s">
        <v>87</v>
      </c>
      <c r="P7" s="3">
        <v>-232332</v>
      </c>
      <c r="Q7" s="12" t="s">
        <v>130</v>
      </c>
    </row>
    <row r="8" spans="1:17" ht="17.25" thickTop="1">
      <c r="I8" s="2" t="s">
        <v>88</v>
      </c>
      <c r="P8" s="3">
        <v>0</v>
      </c>
    </row>
    <row r="9" spans="1:17">
      <c r="A9" s="13" t="s">
        <v>68</v>
      </c>
      <c r="I9" s="2" t="s">
        <v>89</v>
      </c>
      <c r="P9" s="3">
        <v>0</v>
      </c>
    </row>
    <row r="10" spans="1:17">
      <c r="A10" s="2" t="s">
        <v>69</v>
      </c>
      <c r="F10" s="14">
        <v>24070</v>
      </c>
      <c r="I10" s="2" t="s">
        <v>90</v>
      </c>
      <c r="P10" s="3">
        <f>30302+17800</f>
        <v>48102</v>
      </c>
      <c r="Q10" s="12" t="s">
        <v>32</v>
      </c>
    </row>
    <row r="11" spans="1:17">
      <c r="A11" s="2" t="s">
        <v>70</v>
      </c>
      <c r="F11" s="14">
        <f>F10/130*100</f>
        <v>18515.384615384617</v>
      </c>
      <c r="I11" s="2" t="s">
        <v>91</v>
      </c>
      <c r="P11" s="3">
        <v>-856000</v>
      </c>
      <c r="Q11" s="12" t="s">
        <v>130</v>
      </c>
    </row>
    <row r="12" spans="1:17" ht="17.25" thickBot="1">
      <c r="A12" s="2" t="s">
        <v>71</v>
      </c>
      <c r="I12" s="13" t="s">
        <v>92</v>
      </c>
      <c r="P12" s="17">
        <f>SUM(P4:P11)</f>
        <v>717685</v>
      </c>
      <c r="Q12" s="12" t="s">
        <v>130</v>
      </c>
    </row>
    <row r="13" spans="1:17" ht="17.25" thickTop="1"/>
    <row r="14" spans="1:17">
      <c r="A14" s="1" t="s">
        <v>75</v>
      </c>
      <c r="I14" s="13" t="s">
        <v>93</v>
      </c>
    </row>
    <row r="15" spans="1:17">
      <c r="A15" s="2" t="s">
        <v>83</v>
      </c>
      <c r="F15" s="14">
        <v>124000</v>
      </c>
      <c r="I15" s="2" t="s">
        <v>94</v>
      </c>
      <c r="P15" s="3">
        <f>F29</f>
        <v>-6500</v>
      </c>
      <c r="Q15" s="12" t="s">
        <v>35</v>
      </c>
    </row>
    <row r="16" spans="1:17">
      <c r="A16" s="2" t="s">
        <v>76</v>
      </c>
      <c r="F16" s="18">
        <v>118000</v>
      </c>
      <c r="I16" s="2" t="s">
        <v>95</v>
      </c>
      <c r="P16" s="3">
        <f>F34</f>
        <v>848000</v>
      </c>
      <c r="Q16" s="12" t="s">
        <v>32</v>
      </c>
    </row>
    <row r="17" spans="1:17">
      <c r="A17" s="2" t="s">
        <v>77</v>
      </c>
      <c r="F17" s="14">
        <f>F16-F15</f>
        <v>-6000</v>
      </c>
      <c r="I17" s="2" t="s">
        <v>99</v>
      </c>
      <c r="P17" s="3">
        <f>-F37</f>
        <v>-178080</v>
      </c>
      <c r="Q17" s="12" t="s">
        <v>32</v>
      </c>
    </row>
    <row r="19" spans="1:17" ht="17.25" thickBot="1">
      <c r="A19" s="2" t="s">
        <v>78</v>
      </c>
      <c r="F19" s="14">
        <f>356800-6000</f>
        <v>350800</v>
      </c>
      <c r="I19" s="13" t="s">
        <v>101</v>
      </c>
      <c r="P19" s="17">
        <f>SUM(P12:P18)</f>
        <v>1381105</v>
      </c>
      <c r="Q19" s="12" t="s">
        <v>130</v>
      </c>
    </row>
    <row r="20" spans="1:17" ht="17.25" thickTop="1">
      <c r="A20" s="2" t="s">
        <v>79</v>
      </c>
      <c r="F20" s="18">
        <v>368600</v>
      </c>
    </row>
    <row r="21" spans="1:17">
      <c r="A21" s="2" t="s">
        <v>80</v>
      </c>
      <c r="F21" s="14">
        <f>F20-F19</f>
        <v>17800</v>
      </c>
    </row>
    <row r="22" spans="1:17">
      <c r="I22" s="1" t="s">
        <v>102</v>
      </c>
    </row>
    <row r="24" spans="1:17" ht="49.5">
      <c r="A24" s="1" t="s">
        <v>81</v>
      </c>
      <c r="I24" s="2" t="s">
        <v>122</v>
      </c>
      <c r="K24" s="19" t="s">
        <v>8</v>
      </c>
      <c r="L24" s="19" t="s">
        <v>103</v>
      </c>
      <c r="M24" s="23" t="s">
        <v>104</v>
      </c>
      <c r="N24" s="19" t="s">
        <v>46</v>
      </c>
      <c r="O24" s="23" t="s">
        <v>105</v>
      </c>
      <c r="P24" s="23" t="s">
        <v>121</v>
      </c>
    </row>
    <row r="25" spans="1:17">
      <c r="A25" s="2" t="s">
        <v>82</v>
      </c>
      <c r="F25" s="14">
        <v>16000</v>
      </c>
      <c r="K25" s="20"/>
      <c r="L25" s="20"/>
      <c r="M25" s="20"/>
      <c r="N25" s="20"/>
      <c r="O25" s="20"/>
    </row>
    <row r="26" spans="1:17">
      <c r="I26" s="14" t="s">
        <v>106</v>
      </c>
      <c r="J26" s="14"/>
      <c r="K26" s="14">
        <v>1800000</v>
      </c>
      <c r="L26" s="14">
        <v>1000000</v>
      </c>
      <c r="M26" s="14">
        <v>65028</v>
      </c>
      <c r="N26" s="14">
        <v>873214</v>
      </c>
      <c r="O26" s="14"/>
      <c r="P26" s="3">
        <f>SUM(K26:O26)</f>
        <v>3738242</v>
      </c>
      <c r="Q26" s="12" t="s">
        <v>130</v>
      </c>
    </row>
    <row r="27" spans="1:17">
      <c r="A27" s="2" t="s">
        <v>84</v>
      </c>
      <c r="F27" s="14">
        <f>240000+F25</f>
        <v>256000</v>
      </c>
      <c r="I27" s="14" t="s">
        <v>107</v>
      </c>
      <c r="J27" s="14"/>
      <c r="K27" s="14"/>
      <c r="L27" s="14"/>
      <c r="M27" s="14">
        <f>F29</f>
        <v>-6500</v>
      </c>
      <c r="N27" s="14"/>
      <c r="O27" s="14"/>
      <c r="P27" s="3">
        <f t="shared" ref="P27:P32" si="0">SUM(K27:O27)</f>
        <v>-6500</v>
      </c>
      <c r="Q27" s="12" t="s">
        <v>130</v>
      </c>
    </row>
    <row r="28" spans="1:17">
      <c r="A28" s="2" t="s">
        <v>85</v>
      </c>
      <c r="F28" s="18">
        <v>249500</v>
      </c>
      <c r="I28" s="14" t="s">
        <v>108</v>
      </c>
      <c r="J28" s="14"/>
      <c r="K28" s="14"/>
      <c r="L28" s="14"/>
      <c r="M28" s="14"/>
      <c r="N28" s="14"/>
      <c r="O28" s="14">
        <f>F34</f>
        <v>848000</v>
      </c>
      <c r="P28" s="3">
        <f t="shared" si="0"/>
        <v>848000</v>
      </c>
      <c r="Q28" s="12" t="s">
        <v>130</v>
      </c>
    </row>
    <row r="29" spans="1:17">
      <c r="A29" s="2" t="s">
        <v>86</v>
      </c>
      <c r="F29" s="14">
        <f>F28-F27</f>
        <v>-6500</v>
      </c>
      <c r="I29" s="14" t="s">
        <v>109</v>
      </c>
      <c r="J29" s="14"/>
      <c r="K29" s="14"/>
      <c r="L29" s="14"/>
      <c r="M29" s="14"/>
      <c r="N29" s="14"/>
      <c r="O29" s="14">
        <f>-F37</f>
        <v>-178080</v>
      </c>
      <c r="P29" s="3">
        <f t="shared" si="0"/>
        <v>-178080</v>
      </c>
      <c r="Q29" s="12" t="s">
        <v>130</v>
      </c>
    </row>
    <row r="30" spans="1:17">
      <c r="I30" s="14" t="s">
        <v>110</v>
      </c>
      <c r="J30" s="14"/>
      <c r="K30" s="14">
        <f>F45</f>
        <v>360000</v>
      </c>
      <c r="L30" s="14">
        <f>F46</f>
        <v>360000</v>
      </c>
      <c r="M30" s="14"/>
      <c r="N30" s="14"/>
      <c r="O30" s="14"/>
      <c r="P30" s="3">
        <f t="shared" si="0"/>
        <v>720000</v>
      </c>
      <c r="Q30" s="12" t="s">
        <v>130</v>
      </c>
    </row>
    <row r="31" spans="1:17">
      <c r="A31" s="1" t="s">
        <v>96</v>
      </c>
      <c r="I31" s="14" t="s">
        <v>116</v>
      </c>
      <c r="J31" s="14"/>
      <c r="K31" s="14"/>
      <c r="L31" s="14"/>
      <c r="M31" s="14"/>
      <c r="N31" s="14">
        <f>-F51</f>
        <v>-864000</v>
      </c>
      <c r="O31" s="14"/>
      <c r="P31" s="3">
        <f t="shared" si="0"/>
        <v>-864000</v>
      </c>
      <c r="Q31" s="12" t="s">
        <v>129</v>
      </c>
    </row>
    <row r="32" spans="1:17">
      <c r="A32" s="2" t="s">
        <v>97</v>
      </c>
      <c r="E32" s="14"/>
      <c r="F32" s="14">
        <f>1600000+952000</f>
        <v>2552000</v>
      </c>
      <c r="I32" s="14" t="s">
        <v>92</v>
      </c>
      <c r="J32" s="14"/>
      <c r="K32" s="14"/>
      <c r="L32" s="14"/>
      <c r="M32" s="14"/>
      <c r="N32" s="14">
        <f>P12</f>
        <v>717685</v>
      </c>
      <c r="O32" s="14"/>
      <c r="P32" s="3">
        <f t="shared" si="0"/>
        <v>717685</v>
      </c>
      <c r="Q32" s="12" t="s">
        <v>130</v>
      </c>
    </row>
    <row r="33" spans="1:17" s="3" customFormat="1" ht="17.25" thickBot="1">
      <c r="A33" s="2" t="s">
        <v>98</v>
      </c>
      <c r="B33" s="2"/>
      <c r="C33" s="2"/>
      <c r="E33" s="14"/>
      <c r="F33" s="18">
        <v>3400000</v>
      </c>
      <c r="G33" s="14"/>
      <c r="H33" s="14"/>
      <c r="I33" s="21" t="s">
        <v>120</v>
      </c>
      <c r="J33" s="14"/>
      <c r="K33" s="22">
        <f t="shared" ref="K33:P33" si="1">SUM(K26:K32)</f>
        <v>2160000</v>
      </c>
      <c r="L33" s="22">
        <f t="shared" si="1"/>
        <v>1360000</v>
      </c>
      <c r="M33" s="22">
        <f t="shared" si="1"/>
        <v>58528</v>
      </c>
      <c r="N33" s="22">
        <f t="shared" si="1"/>
        <v>726899</v>
      </c>
      <c r="O33" s="22">
        <f t="shared" si="1"/>
        <v>669920</v>
      </c>
      <c r="P33" s="22">
        <f t="shared" si="1"/>
        <v>4975347</v>
      </c>
      <c r="Q33" s="12" t="s">
        <v>130</v>
      </c>
    </row>
    <row r="34" spans="1:17" s="3" customFormat="1" ht="17.25" thickTop="1">
      <c r="A34" s="2" t="s">
        <v>80</v>
      </c>
      <c r="B34" s="2"/>
      <c r="C34" s="2"/>
      <c r="E34" s="14"/>
      <c r="F34" s="14">
        <f>F33-F32</f>
        <v>848000</v>
      </c>
      <c r="G34" s="14"/>
      <c r="H34" s="14"/>
      <c r="I34" s="2"/>
      <c r="J34" s="2"/>
      <c r="K34" s="2"/>
      <c r="L34" s="2"/>
      <c r="M34" s="2"/>
      <c r="N34" s="2"/>
      <c r="O34" s="2"/>
    </row>
    <row r="35" spans="1:17" s="3" customFormat="1">
      <c r="A35" s="2"/>
      <c r="B35" s="2"/>
      <c r="C35" s="2"/>
      <c r="F35" s="14"/>
      <c r="G35" s="14"/>
      <c r="H35" s="14"/>
      <c r="I35" s="2"/>
      <c r="J35" s="2"/>
      <c r="K35" s="2"/>
      <c r="L35" s="2"/>
      <c r="M35" s="2"/>
      <c r="N35" s="2"/>
      <c r="O35" s="2"/>
      <c r="Q35" s="2"/>
    </row>
    <row r="36" spans="1:17" s="3" customFormat="1">
      <c r="A36" s="2"/>
      <c r="B36" s="2"/>
      <c r="C36" s="2"/>
      <c r="E36" s="14"/>
      <c r="F36" s="14"/>
      <c r="G36" s="14"/>
      <c r="H36" s="14"/>
      <c r="I36" s="1" t="s">
        <v>123</v>
      </c>
      <c r="J36" s="2"/>
      <c r="K36" s="2"/>
      <c r="L36" s="2"/>
      <c r="M36" s="2"/>
      <c r="N36" s="2"/>
      <c r="O36" s="2"/>
    </row>
    <row r="37" spans="1:17" s="3" customFormat="1">
      <c r="A37" s="2" t="s">
        <v>100</v>
      </c>
      <c r="B37" s="2"/>
      <c r="C37" s="2"/>
      <c r="E37" s="14"/>
      <c r="F37" s="14">
        <f>F34*21%</f>
        <v>178080</v>
      </c>
      <c r="G37" s="14"/>
      <c r="H37" s="14"/>
      <c r="I37" s="2"/>
      <c r="J37" s="2"/>
      <c r="K37" s="2"/>
      <c r="L37" s="2"/>
      <c r="M37" s="2"/>
      <c r="N37" s="2"/>
      <c r="O37" s="2"/>
    </row>
    <row r="38" spans="1:17" s="3" customFormat="1">
      <c r="A38" s="2"/>
      <c r="B38" s="2"/>
      <c r="C38" s="2"/>
      <c r="F38" s="14"/>
      <c r="G38" s="14"/>
      <c r="H38" s="14"/>
      <c r="I38" s="2" t="s">
        <v>125</v>
      </c>
      <c r="J38" s="2"/>
      <c r="K38" s="2"/>
      <c r="L38" s="2" t="s">
        <v>124</v>
      </c>
      <c r="M38" s="2"/>
      <c r="N38" s="2"/>
      <c r="O38" s="2"/>
      <c r="Q38" s="12" t="s">
        <v>32</v>
      </c>
    </row>
    <row r="39" spans="1:17">
      <c r="Q39" s="3"/>
    </row>
    <row r="40" spans="1:17" s="3" customFormat="1">
      <c r="A40" s="1" t="s">
        <v>111</v>
      </c>
      <c r="B40" s="2"/>
      <c r="C40" s="2"/>
      <c r="F40" s="14"/>
      <c r="G40" s="14"/>
      <c r="H40" s="14"/>
      <c r="I40" s="2" t="s">
        <v>126</v>
      </c>
      <c r="J40" s="2"/>
      <c r="K40" s="2"/>
      <c r="L40" s="2" t="s">
        <v>127</v>
      </c>
      <c r="M40" s="2"/>
      <c r="N40" s="2"/>
      <c r="O40" s="2"/>
      <c r="Q40" s="12" t="s">
        <v>32</v>
      </c>
    </row>
    <row r="41" spans="1:17" s="3" customFormat="1">
      <c r="A41" s="2" t="s">
        <v>112</v>
      </c>
      <c r="B41" s="2"/>
      <c r="C41" s="2"/>
      <c r="F41" s="14">
        <v>3600000</v>
      </c>
      <c r="G41" s="14"/>
      <c r="H41" s="14"/>
      <c r="I41" s="2"/>
      <c r="J41" s="2"/>
      <c r="K41" s="2"/>
      <c r="L41" s="2"/>
      <c r="M41" s="2"/>
      <c r="N41" s="2"/>
      <c r="O41" s="2"/>
    </row>
    <row r="42" spans="1:17" s="3" customFormat="1">
      <c r="A42" s="2" t="s">
        <v>113</v>
      </c>
      <c r="B42" s="2"/>
      <c r="C42" s="2"/>
      <c r="F42" s="18">
        <f>F41/5</f>
        <v>720000</v>
      </c>
      <c r="G42" s="14"/>
      <c r="H42" s="14"/>
      <c r="I42" s="2" t="s">
        <v>128</v>
      </c>
      <c r="J42" s="2"/>
      <c r="K42" s="2"/>
      <c r="L42" s="2"/>
      <c r="M42" s="2"/>
      <c r="N42" s="2"/>
      <c r="O42" s="2"/>
      <c r="Q42" s="12" t="s">
        <v>32</v>
      </c>
    </row>
    <row r="43" spans="1:17" s="3" customFormat="1">
      <c r="A43" s="2"/>
      <c r="B43" s="2"/>
      <c r="C43" s="2"/>
      <c r="F43" s="14">
        <f>SUM(F41:F42)</f>
        <v>4320000</v>
      </c>
      <c r="G43" s="14"/>
      <c r="H43" s="14"/>
      <c r="I43" s="2"/>
      <c r="J43" s="2"/>
      <c r="K43" s="2"/>
      <c r="L43" s="2"/>
      <c r="M43" s="2"/>
      <c r="N43" s="2"/>
      <c r="O43" s="2"/>
      <c r="Q43" s="2"/>
    </row>
    <row r="44" spans="1:17" s="3" customFormat="1">
      <c r="A44" s="2"/>
      <c r="B44" s="2"/>
      <c r="C44" s="2"/>
      <c r="F44" s="14"/>
      <c r="G44" s="14"/>
      <c r="H44" s="14"/>
      <c r="I44" s="2"/>
      <c r="J44" s="2"/>
      <c r="K44" s="2"/>
      <c r="L44" s="2"/>
      <c r="M44" s="2"/>
      <c r="N44" s="2"/>
      <c r="O44" s="2"/>
      <c r="Q44" s="2"/>
    </row>
    <row r="45" spans="1:17" s="3" customFormat="1">
      <c r="A45" s="2" t="s">
        <v>114</v>
      </c>
      <c r="B45" s="2"/>
      <c r="C45" s="2"/>
      <c r="F45" s="14">
        <f>F42*0.5</f>
        <v>360000</v>
      </c>
      <c r="G45" s="14"/>
      <c r="H45" s="14"/>
      <c r="I45" s="2"/>
      <c r="J45" s="2"/>
      <c r="K45" s="2"/>
      <c r="L45" s="2"/>
      <c r="M45" s="2"/>
      <c r="N45" s="2"/>
      <c r="O45" s="2"/>
      <c r="Q45" s="14"/>
    </row>
    <row r="46" spans="1:17" s="3" customFormat="1">
      <c r="A46" s="2" t="s">
        <v>115</v>
      </c>
      <c r="B46" s="2"/>
      <c r="C46" s="2"/>
      <c r="F46" s="14">
        <f>F42*0.5</f>
        <v>360000</v>
      </c>
      <c r="G46" s="14"/>
      <c r="H46" s="14"/>
      <c r="I46" s="2"/>
      <c r="J46" s="2"/>
      <c r="K46" s="2"/>
      <c r="L46" s="2"/>
      <c r="M46" s="2"/>
      <c r="N46" s="2"/>
      <c r="O46" s="2"/>
      <c r="Q46" s="14"/>
    </row>
    <row r="47" spans="1:17">
      <c r="Q47" s="14"/>
    </row>
    <row r="49" spans="1:17" s="14" customFormat="1">
      <c r="A49" s="1" t="s">
        <v>117</v>
      </c>
      <c r="B49" s="2"/>
      <c r="C49" s="2"/>
      <c r="D49" s="3"/>
      <c r="E49" s="3"/>
      <c r="I49" s="2"/>
      <c r="J49" s="2"/>
      <c r="K49" s="2"/>
      <c r="L49" s="2"/>
      <c r="M49" s="2"/>
      <c r="N49" s="2"/>
      <c r="O49" s="2"/>
      <c r="P49" s="3"/>
      <c r="Q49" s="2"/>
    </row>
    <row r="50" spans="1:17" s="14" customFormat="1">
      <c r="A50" s="2" t="s">
        <v>118</v>
      </c>
      <c r="B50" s="2"/>
      <c r="C50" s="2"/>
      <c r="D50" s="3"/>
      <c r="E50" s="3"/>
      <c r="F50" s="14">
        <f>F43</f>
        <v>4320000</v>
      </c>
      <c r="I50" s="2"/>
      <c r="J50" s="2"/>
      <c r="K50" s="2"/>
      <c r="L50" s="2"/>
      <c r="M50" s="2"/>
      <c r="N50" s="2"/>
      <c r="O50" s="2"/>
      <c r="P50" s="3"/>
      <c r="Q50" s="2"/>
    </row>
    <row r="51" spans="1:17" s="14" customFormat="1">
      <c r="A51" s="2" t="s">
        <v>119</v>
      </c>
      <c r="B51" s="2"/>
      <c r="C51" s="2"/>
      <c r="D51" s="3"/>
      <c r="E51" s="3"/>
      <c r="F51" s="14">
        <f>F50*0.2</f>
        <v>864000</v>
      </c>
      <c r="I51" s="2"/>
      <c r="J51" s="2"/>
      <c r="K51" s="2"/>
      <c r="L51" s="2"/>
      <c r="M51" s="2"/>
      <c r="N51" s="2"/>
      <c r="O51" s="2"/>
      <c r="P51" s="3"/>
      <c r="Q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Մայամի</vt:lpstr>
      <vt:lpstr>Վիենա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2025-11-07T19:48:43Z</dcterms:created>
  <dcterms:modified xsi:type="dcterms:W3CDTF">2026-04-28T09:06:47Z</dcterms:modified>
</cp:coreProperties>
</file>