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na\Desktop\հարց ու պատասխան հունվար 2026\"/>
    </mc:Choice>
  </mc:AlternateContent>
  <xr:revisionPtr revIDLastSave="0" documentId="8_{E714EBD8-7BB2-4965-B1A6-17E8BD15B61D}" xr6:coauthVersionLast="47" xr6:coauthVersionMax="47" xr10:uidLastSave="{00000000-0000-0000-0000-000000000000}"/>
  <bookViews>
    <workbookView xWindow="-120" yWindow="-120" windowWidth="21840" windowHeight="13140" tabRatio="825" xr2:uid="{00000000-000D-0000-FFFF-FFFF00000000}"/>
  </bookViews>
  <sheets>
    <sheet name="multiple choices 1-5" sheetId="1" r:id="rId1"/>
    <sheet name="multiple choices 6-11" sheetId="2" r:id="rId2"/>
    <sheet name="Խ2-consolidated_reviewed" sheetId="7" r:id="rId3"/>
    <sheet name="Խ3-TB_reviewed" sheetId="9" r:id="rId4"/>
    <sheet name="Խնդիր 4-CF_reviewed" sheetId="8" r:id="rId5"/>
    <sheet name="Խ5-ratio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  <c r="C11" i="8" l="1"/>
  <c r="B68" i="9" l="1"/>
  <c r="B88" i="7"/>
  <c r="C124" i="8" l="1"/>
  <c r="D124" i="8"/>
  <c r="C176" i="8"/>
  <c r="C180" i="8" s="1"/>
  <c r="C6" i="8" s="1"/>
  <c r="C149" i="8"/>
  <c r="F124" i="8" s="1"/>
  <c r="B109" i="9"/>
  <c r="B69" i="9"/>
  <c r="H62" i="7"/>
  <c r="L65" i="7"/>
  <c r="C8" i="2"/>
  <c r="C9" i="2"/>
  <c r="C148" i="8"/>
  <c r="E124" i="8" s="1"/>
  <c r="B25" i="9"/>
  <c r="B63" i="9"/>
  <c r="B75" i="9"/>
  <c r="D6" i="9"/>
  <c r="B147" i="9"/>
  <c r="B145" i="9"/>
  <c r="B149" i="9" s="1"/>
  <c r="B150" i="9" s="1"/>
  <c r="B130" i="9"/>
  <c r="B131" i="9" s="1"/>
  <c r="B124" i="9"/>
  <c r="M19" i="9" s="1"/>
  <c r="B123" i="9"/>
  <c r="M13" i="9" s="1"/>
  <c r="B120" i="9"/>
  <c r="B122" i="9" s="1"/>
  <c r="M11" i="9" s="1"/>
  <c r="B98" i="9"/>
  <c r="B99" i="9" s="1"/>
  <c r="B103" i="9" s="1"/>
  <c r="B94" i="9"/>
  <c r="J18" i="9" s="1"/>
  <c r="B86" i="9"/>
  <c r="I10" i="9" s="1"/>
  <c r="U11" i="9" s="1"/>
  <c r="B70" i="9"/>
  <c r="H9" i="9" s="1"/>
  <c r="T9" i="9" s="1"/>
  <c r="B58" i="9"/>
  <c r="B57" i="9"/>
  <c r="B62" i="9" s="1"/>
  <c r="B52" i="9"/>
  <c r="T39" i="9"/>
  <c r="C32" i="9"/>
  <c r="C31" i="9"/>
  <c r="D28" i="9"/>
  <c r="D24" i="9"/>
  <c r="P24" i="9" s="1"/>
  <c r="S36" i="9" s="1"/>
  <c r="D23" i="9"/>
  <c r="P23" i="9" s="1"/>
  <c r="S38" i="9" s="1"/>
  <c r="D22" i="9"/>
  <c r="D21" i="9"/>
  <c r="P21" i="9" s="1"/>
  <c r="S27" i="9" s="1"/>
  <c r="D19" i="9"/>
  <c r="D18" i="9"/>
  <c r="D17" i="9"/>
  <c r="D15" i="9"/>
  <c r="P15" i="9" s="1"/>
  <c r="V13" i="9" s="1"/>
  <c r="D14" i="9"/>
  <c r="C13" i="9"/>
  <c r="D13" i="9" s="1"/>
  <c r="D12" i="9"/>
  <c r="D11" i="9"/>
  <c r="D10" i="9"/>
  <c r="D9" i="9"/>
  <c r="D8" i="9"/>
  <c r="V7" i="9"/>
  <c r="U7" i="9"/>
  <c r="T7" i="9"/>
  <c r="S7" i="9"/>
  <c r="D185" i="8"/>
  <c r="F190" i="8"/>
  <c r="F189" i="8"/>
  <c r="F186" i="8"/>
  <c r="F185" i="8"/>
  <c r="C189" i="8"/>
  <c r="C190" i="8"/>
  <c r="D165" i="8"/>
  <c r="C165" i="8"/>
  <c r="D158" i="8"/>
  <c r="C158" i="8"/>
  <c r="D150" i="8"/>
  <c r="D142" i="8"/>
  <c r="C142" i="8"/>
  <c r="D136" i="8"/>
  <c r="C136" i="8"/>
  <c r="F118" i="8"/>
  <c r="E118" i="8"/>
  <c r="E121" i="8" s="1"/>
  <c r="F121" i="8" s="1"/>
  <c r="D118" i="8"/>
  <c r="C118" i="8"/>
  <c r="D119" i="8" s="1"/>
  <c r="C119" i="8" s="1"/>
  <c r="C113" i="8"/>
  <c r="C111" i="8"/>
  <c r="C110" i="8"/>
  <c r="C109" i="8"/>
  <c r="C105" i="8"/>
  <c r="C102" i="8"/>
  <c r="C98" i="8"/>
  <c r="C96" i="8"/>
  <c r="C95" i="8"/>
  <c r="D90" i="8"/>
  <c r="D92" i="8" s="1"/>
  <c r="C90" i="8"/>
  <c r="C92" i="8" s="1"/>
  <c r="C86" i="8"/>
  <c r="C85" i="8"/>
  <c r="C80" i="8"/>
  <c r="C79" i="8"/>
  <c r="C77" i="8"/>
  <c r="C72" i="8"/>
  <c r="C68" i="8"/>
  <c r="C58" i="8"/>
  <c r="C56" i="8"/>
  <c r="C55" i="8"/>
  <c r="C53" i="8"/>
  <c r="C9" i="8" s="1"/>
  <c r="E48" i="8"/>
  <c r="C47" i="8"/>
  <c r="C42" i="8"/>
  <c r="C41" i="8"/>
  <c r="C34" i="8"/>
  <c r="C31" i="8"/>
  <c r="C30" i="8"/>
  <c r="C25" i="8"/>
  <c r="C24" i="8"/>
  <c r="C20" i="8"/>
  <c r="C16" i="8"/>
  <c r="C15" i="8"/>
  <c r="C12" i="8"/>
  <c r="C104" i="8" l="1"/>
  <c r="C10" i="8" s="1"/>
  <c r="B114" i="9"/>
  <c r="L6" i="9" s="1"/>
  <c r="B32" i="9"/>
  <c r="D32" i="9" s="1"/>
  <c r="B31" i="9"/>
  <c r="C41" i="9" s="1"/>
  <c r="C22" i="8"/>
  <c r="D144" i="8"/>
  <c r="C144" i="8"/>
  <c r="P18" i="9"/>
  <c r="S24" i="9" s="1"/>
  <c r="M25" i="9"/>
  <c r="J13" i="9"/>
  <c r="J25" i="9" s="1"/>
  <c r="B153" i="9"/>
  <c r="O13" i="9" s="1"/>
  <c r="C46" i="8"/>
  <c r="D191" i="8"/>
  <c r="C71" i="8" s="1"/>
  <c r="C73" i="8" s="1"/>
  <c r="C33" i="8" s="1"/>
  <c r="C167" i="8"/>
  <c r="D167" i="8"/>
  <c r="D168" i="8" s="1"/>
  <c r="C81" i="8"/>
  <c r="C13" i="8" s="1"/>
  <c r="C97" i="8"/>
  <c r="C40" i="8" s="1"/>
  <c r="C150" i="8"/>
  <c r="E125" i="8"/>
  <c r="P10" i="9"/>
  <c r="U15" i="9"/>
  <c r="C25" i="9"/>
  <c r="B154" i="9"/>
  <c r="P9" i="9"/>
  <c r="B64" i="9"/>
  <c r="T15" i="9"/>
  <c r="B59" i="9"/>
  <c r="G13" i="9" s="1"/>
  <c r="D16" i="9"/>
  <c r="B33" i="9"/>
  <c r="D33" i="9" s="1"/>
  <c r="V10" i="9"/>
  <c r="H8" i="9"/>
  <c r="B71" i="9"/>
  <c r="H11" i="9" s="1"/>
  <c r="B133" i="9"/>
  <c r="B139" i="9"/>
  <c r="B140" i="9" s="1"/>
  <c r="B77" i="9"/>
  <c r="B102" i="9"/>
  <c r="K13" i="9"/>
  <c r="K22" i="9"/>
  <c r="P22" i="9" s="1"/>
  <c r="S37" i="9" s="1"/>
  <c r="D7" i="9"/>
  <c r="C112" i="8"/>
  <c r="C26" i="8" s="1"/>
  <c r="C87" i="8"/>
  <c r="C21" i="8" s="1"/>
  <c r="D187" i="8"/>
  <c r="C182" i="8"/>
  <c r="F122" i="8" s="1"/>
  <c r="D125" i="8"/>
  <c r="C5" i="2"/>
  <c r="E5" i="2"/>
  <c r="D88" i="7"/>
  <c r="H54" i="7" s="1"/>
  <c r="J54" i="7" s="1"/>
  <c r="C88" i="7"/>
  <c r="H53" i="7" s="1"/>
  <c r="J53" i="7" s="1"/>
  <c r="B89" i="7"/>
  <c r="C91" i="7" s="1"/>
  <c r="D78" i="7"/>
  <c r="H63" i="7" s="1"/>
  <c r="J63" i="7" s="1"/>
  <c r="B142" i="7"/>
  <c r="B139" i="7"/>
  <c r="B131" i="7"/>
  <c r="H38" i="7" s="1"/>
  <c r="J38" i="7" s="1"/>
  <c r="C128" i="7"/>
  <c r="C133" i="7" s="1"/>
  <c r="B124" i="7"/>
  <c r="G119" i="7"/>
  <c r="I62" i="7" s="1"/>
  <c r="B119" i="7"/>
  <c r="G117" i="7"/>
  <c r="G118" i="7" s="1"/>
  <c r="B117" i="7"/>
  <c r="B118" i="7" s="1"/>
  <c r="H45" i="7" s="1"/>
  <c r="G115" i="7"/>
  <c r="G116" i="7" s="1"/>
  <c r="B115" i="7"/>
  <c r="B116" i="7" s="1"/>
  <c r="B106" i="7"/>
  <c r="B100" i="7"/>
  <c r="H12" i="7" s="1"/>
  <c r="J12" i="7" s="1"/>
  <c r="G87" i="7"/>
  <c r="G100" i="7" s="1"/>
  <c r="I61" i="7" s="1"/>
  <c r="G79" i="7"/>
  <c r="G83" i="7" s="1"/>
  <c r="C75" i="7"/>
  <c r="C76" i="7" s="1"/>
  <c r="D76" i="7" s="1"/>
  <c r="I74" i="7"/>
  <c r="D74" i="7"/>
  <c r="H73" i="7"/>
  <c r="I73" i="7" s="1"/>
  <c r="D73" i="7"/>
  <c r="C73" i="7"/>
  <c r="I72" i="7"/>
  <c r="C72" i="7"/>
  <c r="D72" i="7" s="1"/>
  <c r="I71" i="7"/>
  <c r="D71" i="7"/>
  <c r="H70" i="7"/>
  <c r="I70" i="7" s="1"/>
  <c r="C70" i="7"/>
  <c r="D70" i="7" s="1"/>
  <c r="E67" i="7"/>
  <c r="C67" i="7"/>
  <c r="F64" i="7"/>
  <c r="D64" i="7"/>
  <c r="B64" i="7"/>
  <c r="F58" i="7"/>
  <c r="D58" i="7"/>
  <c r="B58" i="7"/>
  <c r="D48" i="7"/>
  <c r="F47" i="7"/>
  <c r="F48" i="7" s="1"/>
  <c r="B47" i="7"/>
  <c r="B48" i="7" s="1"/>
  <c r="H46" i="7"/>
  <c r="F42" i="7"/>
  <c r="D42" i="7"/>
  <c r="B42" i="7"/>
  <c r="J41" i="7"/>
  <c r="J40" i="7"/>
  <c r="J24" i="7"/>
  <c r="J16" i="7"/>
  <c r="H14" i="7"/>
  <c r="J14" i="7" s="1"/>
  <c r="H13" i="7"/>
  <c r="J13" i="7" s="1"/>
  <c r="J11" i="7"/>
  <c r="H9" i="7"/>
  <c r="J9" i="7" s="1"/>
  <c r="D8" i="7"/>
  <c r="D15" i="7" s="1"/>
  <c r="D17" i="7" s="1"/>
  <c r="D25" i="7" s="1"/>
  <c r="B8" i="7"/>
  <c r="B15" i="7" s="1"/>
  <c r="B17" i="7" s="1"/>
  <c r="B25" i="7" s="1"/>
  <c r="H6" i="7"/>
  <c r="J6" i="7" s="1"/>
  <c r="B73" i="7" l="1"/>
  <c r="B79" i="7" s="1"/>
  <c r="B115" i="9"/>
  <c r="L13" i="9" s="1"/>
  <c r="L25" i="9" s="1"/>
  <c r="B83" i="9"/>
  <c r="B84" i="9" s="1"/>
  <c r="C168" i="8"/>
  <c r="C169" i="8" s="1"/>
  <c r="D169" i="8"/>
  <c r="C39" i="8"/>
  <c r="O19" i="9"/>
  <c r="O25" i="9" s="1"/>
  <c r="H25" i="9"/>
  <c r="D31" i="9"/>
  <c r="D34" i="9" s="1"/>
  <c r="G17" i="9"/>
  <c r="K25" i="9"/>
  <c r="J62" i="7"/>
  <c r="D49" i="7"/>
  <c r="C43" i="8"/>
  <c r="G20" i="9"/>
  <c r="P20" i="9" s="1"/>
  <c r="S26" i="9" s="1"/>
  <c r="P16" i="9"/>
  <c r="D25" i="9"/>
  <c r="N19" i="9"/>
  <c r="B136" i="9"/>
  <c r="B137" i="9" s="1"/>
  <c r="N13" i="9" s="1"/>
  <c r="P11" i="9"/>
  <c r="V9" i="9"/>
  <c r="B78" i="9"/>
  <c r="B80" i="9" s="1"/>
  <c r="B88" i="9" s="1"/>
  <c r="B87" i="9" s="1"/>
  <c r="P8" i="9"/>
  <c r="S29" i="9" s="1"/>
  <c r="S9" i="9"/>
  <c r="S15" i="9" s="1"/>
  <c r="F125" i="8"/>
  <c r="C183" i="8"/>
  <c r="C57" i="8"/>
  <c r="C125" i="8"/>
  <c r="H7" i="7"/>
  <c r="J7" i="7" s="1"/>
  <c r="J8" i="7" s="1"/>
  <c r="D75" i="7"/>
  <c r="B92" i="7"/>
  <c r="C93" i="7" s="1"/>
  <c r="C94" i="7" s="1"/>
  <c r="C96" i="7" s="1"/>
  <c r="H39" i="7" s="1"/>
  <c r="B49" i="7"/>
  <c r="F49" i="7"/>
  <c r="D66" i="7"/>
  <c r="F66" i="7"/>
  <c r="B66" i="7"/>
  <c r="J19" i="7"/>
  <c r="J27" i="7" s="1"/>
  <c r="B134" i="7"/>
  <c r="I45" i="7"/>
  <c r="J45" i="7" s="1"/>
  <c r="H77" i="7"/>
  <c r="I77" i="7" s="1"/>
  <c r="I79" i="7" s="1"/>
  <c r="G141" i="7" s="1"/>
  <c r="B148" i="7"/>
  <c r="B149" i="7" s="1"/>
  <c r="H55" i="7" s="1"/>
  <c r="J55" i="7" s="1"/>
  <c r="J47" i="7"/>
  <c r="H61" i="7"/>
  <c r="C77" i="7"/>
  <c r="C79" i="7" s="1"/>
  <c r="B129" i="7"/>
  <c r="B107" i="7"/>
  <c r="H10" i="7" s="1"/>
  <c r="J10" i="7" s="1"/>
  <c r="G89" i="7"/>
  <c r="I46" i="7"/>
  <c r="J46" i="7" s="1"/>
  <c r="G82" i="7"/>
  <c r="G92" i="7"/>
  <c r="H93" i="7" s="1"/>
  <c r="D67" i="7" l="1"/>
  <c r="I13" i="9"/>
  <c r="C62" i="8"/>
  <c r="C64" i="8" s="1"/>
  <c r="C32" i="8" s="1"/>
  <c r="C36" i="8" s="1"/>
  <c r="C8" i="8"/>
  <c r="C17" i="8" s="1"/>
  <c r="N25" i="9"/>
  <c r="G25" i="9"/>
  <c r="P19" i="9"/>
  <c r="S25" i="9" s="1"/>
  <c r="I7" i="9"/>
  <c r="I25" i="9" s="1"/>
  <c r="A41" i="9"/>
  <c r="B41" i="9" s="1"/>
  <c r="D41" i="9" s="1"/>
  <c r="B37" i="9"/>
  <c r="E14" i="9" s="1"/>
  <c r="H8" i="7"/>
  <c r="P17" i="9"/>
  <c r="P6" i="9"/>
  <c r="S16" i="9"/>
  <c r="F67" i="7"/>
  <c r="B67" i="7"/>
  <c r="J15" i="7"/>
  <c r="J17" i="7" s="1"/>
  <c r="J25" i="7" s="1"/>
  <c r="J28" i="7" s="1"/>
  <c r="J29" i="7" s="1"/>
  <c r="J48" i="7"/>
  <c r="H79" i="7"/>
  <c r="D77" i="7"/>
  <c r="D79" i="7" s="1"/>
  <c r="B141" i="7" s="1"/>
  <c r="J61" i="7"/>
  <c r="J64" i="7" s="1"/>
  <c r="G139" i="7"/>
  <c r="G143" i="7" s="1"/>
  <c r="I57" i="7" s="1"/>
  <c r="G90" i="7"/>
  <c r="H91" i="7" s="1"/>
  <c r="H94" i="7" s="1"/>
  <c r="H96" i="7" s="1"/>
  <c r="I39" i="7" s="1"/>
  <c r="J39" i="7" s="1"/>
  <c r="B108" i="7"/>
  <c r="H37" i="7" s="1"/>
  <c r="J37" i="7" s="1"/>
  <c r="B60" i="6"/>
  <c r="I11" i="6" s="1"/>
  <c r="B49" i="6"/>
  <c r="B47" i="6"/>
  <c r="B42" i="6"/>
  <c r="G12" i="6" s="1"/>
  <c r="B33" i="6"/>
  <c r="B27" i="6"/>
  <c r="J17" i="6"/>
  <c r="G15" i="6"/>
  <c r="B8" i="6"/>
  <c r="C7" i="6"/>
  <c r="C9" i="6" s="1"/>
  <c r="B6" i="6"/>
  <c r="B7" i="6" s="1"/>
  <c r="C23" i="8" l="1"/>
  <c r="C27" i="8" s="1"/>
  <c r="C45" i="8" s="1"/>
  <c r="C48" i="8" s="1"/>
  <c r="C49" i="8" s="1"/>
  <c r="B38" i="9"/>
  <c r="E12" i="9" s="1"/>
  <c r="E25" i="9" s="1"/>
  <c r="B45" i="9"/>
  <c r="B44" i="9"/>
  <c r="P7" i="9"/>
  <c r="S22" i="9" s="1"/>
  <c r="J20" i="7"/>
  <c r="J42" i="7"/>
  <c r="J49" i="7" s="1"/>
  <c r="B143" i="7"/>
  <c r="H57" i="7" s="1"/>
  <c r="J57" i="7" s="1"/>
  <c r="D80" i="7"/>
  <c r="G11" i="6"/>
  <c r="B34" i="6"/>
  <c r="I7" i="6"/>
  <c r="B50" i="6"/>
  <c r="B51" i="6" s="1"/>
  <c r="G14" i="6"/>
  <c r="G7" i="6"/>
  <c r="B9" i="6"/>
  <c r="I9" i="6"/>
  <c r="C11" i="6"/>
  <c r="C13" i="6" s="1"/>
  <c r="C15" i="6" s="1"/>
  <c r="G16" i="6"/>
  <c r="W12" i="9" l="1"/>
  <c r="W15" i="9" s="1"/>
  <c r="P12" i="9"/>
  <c r="S31" i="9" s="1"/>
  <c r="B125" i="7"/>
  <c r="B133" i="7" s="1"/>
  <c r="B135" i="7" s="1"/>
  <c r="H56" i="7" s="1"/>
  <c r="J56" i="7" s="1"/>
  <c r="J58" i="7" s="1"/>
  <c r="J66" i="7" s="1"/>
  <c r="J67" i="7" s="1"/>
  <c r="S23" i="9"/>
  <c r="S28" i="9" s="1"/>
  <c r="F13" i="9"/>
  <c r="F14" i="9"/>
  <c r="P14" i="9" s="1"/>
  <c r="S34" i="9" s="1"/>
  <c r="S39" i="9" s="1"/>
  <c r="G9" i="6"/>
  <c r="B11" i="6"/>
  <c r="B13" i="6" s="1"/>
  <c r="B15" i="6" s="1"/>
  <c r="C18" i="6"/>
  <c r="I10" i="6"/>
  <c r="W16" i="9" l="1"/>
  <c r="F25" i="9"/>
  <c r="P13" i="9"/>
  <c r="G10" i="6"/>
  <c r="B18" i="6"/>
  <c r="S30" i="9" l="1"/>
  <c r="S32" i="9" s="1"/>
  <c r="S40" i="9" s="1"/>
  <c r="P25" i="9"/>
  <c r="V8" i="9"/>
  <c r="V15" i="9" s="1"/>
  <c r="V16" i="9" l="1"/>
  <c r="C60" i="2" l="1"/>
  <c r="D58" i="2"/>
  <c r="E58" i="2" s="1"/>
  <c r="D56" i="2"/>
  <c r="E56" i="2" s="1"/>
  <c r="G60" i="2"/>
  <c r="H60" i="2"/>
  <c r="I59" i="2"/>
  <c r="E59" i="2"/>
  <c r="I58" i="2"/>
  <c r="I56" i="2"/>
  <c r="I57" i="2"/>
  <c r="I55" i="2"/>
  <c r="E55" i="2"/>
  <c r="D77" i="2" l="1"/>
  <c r="D67" i="2"/>
  <c r="D78" i="2"/>
  <c r="D68" i="2"/>
  <c r="D69" i="2"/>
  <c r="D79" i="2"/>
  <c r="C68" i="2"/>
  <c r="C78" i="2"/>
  <c r="G75" i="2"/>
  <c r="G65" i="2"/>
  <c r="H65" i="2"/>
  <c r="H75" i="2"/>
  <c r="H66" i="2"/>
  <c r="H76" i="2"/>
  <c r="C79" i="2"/>
  <c r="C69" i="2"/>
  <c r="G66" i="2"/>
  <c r="G76" i="2"/>
  <c r="I60" i="2"/>
  <c r="E57" i="2"/>
  <c r="D60" i="2"/>
  <c r="D70" i="2" l="1"/>
  <c r="H70" i="2"/>
  <c r="G70" i="2"/>
  <c r="C77" i="2"/>
  <c r="C80" i="2" s="1"/>
  <c r="C67" i="2"/>
  <c r="C70" i="2" s="1"/>
  <c r="H80" i="2"/>
  <c r="G80" i="2"/>
  <c r="D80" i="2"/>
  <c r="E60" i="2"/>
  <c r="C43" i="2" l="1"/>
  <c r="C44" i="2" s="1"/>
  <c r="C46" i="2" s="1"/>
  <c r="C27" i="2"/>
  <c r="D23" i="1"/>
  <c r="E17" i="2"/>
  <c r="E20" i="2"/>
  <c r="D16" i="2"/>
  <c r="D19" i="2" s="1"/>
  <c r="E19" i="2" s="1"/>
  <c r="C21" i="2"/>
  <c r="I68" i="1"/>
  <c r="I69" i="1" s="1"/>
  <c r="F68" i="1"/>
  <c r="F69" i="1" s="1"/>
  <c r="G68" i="1"/>
  <c r="G69" i="1" s="1"/>
  <c r="H68" i="1"/>
  <c r="H69" i="1" s="1"/>
  <c r="E68" i="1"/>
  <c r="E69" i="1" s="1"/>
  <c r="E61" i="1"/>
  <c r="E62" i="1" s="1"/>
  <c r="E63" i="1" s="1"/>
  <c r="E56" i="1"/>
  <c r="E57" i="1" s="1"/>
  <c r="E52" i="1"/>
  <c r="E53" i="1" s="1"/>
  <c r="E33" i="1"/>
  <c r="E35" i="1" s="1"/>
  <c r="D33" i="1"/>
  <c r="D35" i="1" s="1"/>
  <c r="D22" i="1"/>
  <c r="C5" i="1"/>
  <c r="C14" i="1"/>
  <c r="E13" i="1"/>
  <c r="E12" i="1"/>
  <c r="E6" i="1"/>
  <c r="E5" i="1"/>
  <c r="E4" i="1"/>
  <c r="C28" i="2" l="1"/>
  <c r="C30" i="2"/>
  <c r="C10" i="2"/>
  <c r="D24" i="1"/>
  <c r="D25" i="1" s="1"/>
  <c r="D18" i="2"/>
  <c r="E18" i="2" s="1"/>
  <c r="E16" i="2"/>
  <c r="I70" i="1"/>
  <c r="I73" i="1" s="1"/>
  <c r="I74" i="1" s="1"/>
  <c r="E36" i="1"/>
  <c r="E14" i="1"/>
  <c r="E16" i="1" s="1"/>
  <c r="D4" i="1" s="1"/>
  <c r="F4" i="1" s="1"/>
  <c r="C6" i="1"/>
  <c r="F6" i="1" s="1"/>
  <c r="C31" i="2" l="1"/>
  <c r="D5" i="1"/>
  <c r="F5" i="1" s="1"/>
  <c r="E21" i="2"/>
  <c r="F7" i="1" l="1"/>
  <c r="F9" i="1" s="1"/>
  <c r="C185" i="8"/>
</calcChain>
</file>

<file path=xl/sharedStrings.xml><?xml version="1.0" encoding="utf-8"?>
<sst xmlns="http://schemas.openxmlformats.org/spreadsheetml/2006/main" count="799" uniqueCount="504">
  <si>
    <t>Ք1-Բաժնետոմսերի կշռված միջին քանակը</t>
  </si>
  <si>
    <t>Ժամկետ</t>
  </si>
  <si>
    <t>Թողարկված բաժնետոմսերի քանակ</t>
  </si>
  <si>
    <t>Միջին կշռված</t>
  </si>
  <si>
    <t>Ամսաթիվ</t>
  </si>
  <si>
    <t>Ք2-Բաժնետոմսի տեսական գնի հաշվարկ</t>
  </si>
  <si>
    <t>31/12/2024</t>
  </si>
  <si>
    <t>31/12/2025</t>
  </si>
  <si>
    <r>
      <t>Տարեկան</t>
    </r>
    <r>
      <rPr>
        <sz val="11"/>
        <color theme="1"/>
        <rFont val="Aptos"/>
        <family val="2"/>
      </rPr>
      <t xml:space="preserve"> </t>
    </r>
    <r>
      <rPr>
        <sz val="11"/>
        <color theme="1"/>
        <rFont val="Sylfaen"/>
        <family val="1"/>
      </rPr>
      <t>վաճառված</t>
    </r>
    <r>
      <rPr>
        <sz val="11"/>
        <color theme="1"/>
        <rFont val="Aptos"/>
        <family val="2"/>
      </rPr>
      <t xml:space="preserve"> </t>
    </r>
    <r>
      <rPr>
        <sz val="11"/>
        <color theme="1"/>
        <rFont val="Sylfaen"/>
        <family val="1"/>
      </rPr>
      <t>մեքենաներ</t>
    </r>
  </si>
  <si>
    <r>
      <t>Վերանորոգման</t>
    </r>
    <r>
      <rPr>
        <sz val="11"/>
        <color theme="1"/>
        <rFont val="Aptos"/>
        <family val="2"/>
      </rPr>
      <t xml:space="preserve"> </t>
    </r>
    <r>
      <rPr>
        <sz val="11"/>
        <color theme="1"/>
        <rFont val="Sylfaen"/>
        <family val="1"/>
      </rPr>
      <t>արժեքը</t>
    </r>
    <r>
      <rPr>
        <sz val="11"/>
        <color theme="1"/>
        <rFont val="Aptos"/>
        <family val="2"/>
      </rPr>
      <t xml:space="preserve"> </t>
    </r>
  </si>
  <si>
    <t>Վերանորոգման ենթակա մեքենաներ</t>
  </si>
  <si>
    <t>Ստացված  դրամաշնորհներ</t>
  </si>
  <si>
    <t>Շահույթում կամ վնասում ճանաչված դրամաշնորհի եկամուտ</t>
  </si>
  <si>
    <t>Հիմնական միջոցներ (տրակտոր)</t>
  </si>
  <si>
    <t>Սկզբնական արժեք</t>
  </si>
  <si>
    <t>Մաշվածություն</t>
  </si>
  <si>
    <t>Զուտ արժեք</t>
  </si>
  <si>
    <t>Դրամաշնորհ</t>
  </si>
  <si>
    <t xml:space="preserve">Տրակտորի արժեքը </t>
  </si>
  <si>
    <t>որպես նվազեցում համապատասխան հիմնական միջոցի հաշվեկշռային արժեքից։</t>
  </si>
  <si>
    <t>Որպես նվազեցում համապատասխան հիմնական միջոցի հաշվեկշռային արժեքից։ (Offset presentation)</t>
  </si>
  <si>
    <t>Առանձին ներկայացման դեպքում (Separate presentation)</t>
  </si>
  <si>
    <t>Դրամաշնորհի ամորտիզացիան չի սկսվում դրա ստացման պահից։ Այն սկսվում է այն պահից, երբ համապատասխան հիմնական միջոցի մաշվածության հաշվարկը սկսվում է, այսինքն՝ երբ ակտիվը կապիտալացվում է և դառնում է հասանելի օգտագործման համար տնտեսվարող սուբյեկտի գործունեության մեջ։</t>
  </si>
  <si>
    <t>Մինչև դրամաշնորհի ամբողջական ճանաչումը շահույթում կամ վնասում, այն կարող է ներկայացվել ֆինանսական հաշվետվություններում հետևյալ եղանակներից որևէ մեկով՝</t>
  </si>
  <si>
    <t>որպես առանձին պարտավորություն, կամ</t>
  </si>
  <si>
    <t>Զեղչման դրույք</t>
  </si>
  <si>
    <t>Վճարման ենթակա գումար</t>
  </si>
  <si>
    <t>Վճարման ենթակա գումար՝ զեղչված արժեքով</t>
  </si>
  <si>
    <t>Պարտավորության բաղադրիչ</t>
  </si>
  <si>
    <t>Սեփական կապիտալի բաղադրիչ</t>
  </si>
  <si>
    <t>Ֆինանսական Վարձակալություն</t>
  </si>
  <si>
    <t>Սխալ կատարված ձևակերպման հակադարձում</t>
  </si>
  <si>
    <t>ԿՏ-Կուտակված շահույթ</t>
  </si>
  <si>
    <t>ԴՏ-Ֆին վարձակլության գծով պարտավորություն</t>
  </si>
  <si>
    <t>Օգտագործման իրավունքի ձևով ակտիվի մաշվածության ծախս</t>
  </si>
  <si>
    <t>Ֆինանսական ծախս</t>
  </si>
  <si>
    <t>Ճշտման ազդեցությունը կուտակված շահույթի վրա</t>
  </si>
  <si>
    <t>Դրամաստեղծ միավորի արժեզրկում</t>
  </si>
  <si>
    <t>Գուդվիլ</t>
  </si>
  <si>
    <t>Գործարան</t>
  </si>
  <si>
    <t>Շենք</t>
  </si>
  <si>
    <t>Ոչ նյութական ակտիվներ</t>
  </si>
  <si>
    <t>Զուտ ընթացիկ ակտիվներ</t>
  </si>
  <si>
    <t>Ընդամենը ակտիվներ</t>
  </si>
  <si>
    <t>Արժեզրկումից կորուստ</t>
  </si>
  <si>
    <t>Վերանայված մնացորդային արժեք՝ հազար ՀՀ դրամով</t>
  </si>
  <si>
    <t>Մնացորդային արժեք առ 31.12.2025</t>
  </si>
  <si>
    <t>Շենքի իրական արժեք առ 31.12.2025</t>
  </si>
  <si>
    <t>Շենքի վաճառքից օգուտ</t>
  </si>
  <si>
    <t>Շենքի վարձակալական վճարների ներկա արժեքի և իրական արժեքի հարաբերակցություն</t>
  </si>
  <si>
    <t>Շենքի վաճառքից օգուտի մասը, որը վերաբերում է գույքի նկատմամբ պահպանած իրավունքներին</t>
  </si>
  <si>
    <t>Շենքի վաճառքից օգուտի Ճանաչման ենթակա գումար առ 31․12․2026</t>
  </si>
  <si>
    <t>Ընդամենը հետազոտության ծախսեր</t>
  </si>
  <si>
    <t>Ծախսեր 01.04-31.12.2024 ժամ-շրջանում</t>
  </si>
  <si>
    <t>Ծախսեր 01.06-31.12.2024 ժամ-շրջանում</t>
  </si>
  <si>
    <t>Նախագծի ամորտիզացիայի ծախսեր՝ 01.01-31.03.2025 ժամ-շրջանում</t>
  </si>
  <si>
    <t>Ընդամենը ծախսագրման ենթակա գումար</t>
  </si>
  <si>
    <t>Ճիշտ/սխալ</t>
  </si>
  <si>
    <r>
      <t>Նախագիծ 2-ի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համար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գնված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սարքավորումների գծով մաշվածության ծախս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չպետք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է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ճանաչվի</t>
    </r>
    <r>
      <rPr>
        <sz val="12"/>
        <color theme="1"/>
        <rFont val="Aptos"/>
        <family val="2"/>
      </rPr>
      <t xml:space="preserve">, </t>
    </r>
    <r>
      <rPr>
        <sz val="12"/>
        <color theme="1"/>
        <rFont val="Sylfaen"/>
        <family val="1"/>
      </rPr>
      <t>քանի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որ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դրանք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օգտագործվել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են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հետազոտական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​​</t>
    </r>
    <r>
      <rPr>
        <sz val="12"/>
        <color theme="1"/>
        <rFont val="Sylfaen"/>
        <family val="1"/>
      </rPr>
      <t>նախագծերում։</t>
    </r>
  </si>
  <si>
    <t>Ճիշտ Է</t>
  </si>
  <si>
    <t>Սխալ է</t>
  </si>
  <si>
    <t>Կենսաբանական ակտիվներ</t>
  </si>
  <si>
    <t>Կենսաբանական ակտիվների մնացորդային արժեք</t>
  </si>
  <si>
    <t>Կենսաբանական ակտիվների իրական արժեքը առ 31․12․2025</t>
  </si>
  <si>
    <t>Վաճառքի գծով միջնորդավճար</t>
  </si>
  <si>
    <t>Կենսաբանական ակտիվների վերագնահատված արժեք առ 31․12․2025</t>
  </si>
  <si>
    <t xml:space="preserve">Վերագնահաումից օգուտ </t>
  </si>
  <si>
    <t>Ակտիվներ</t>
  </si>
  <si>
    <t>Պարտավորություններ</t>
  </si>
  <si>
    <t>Հիմնական միջոցներ</t>
  </si>
  <si>
    <t>Օգտագործման իրավունքի ձևով (ՕԻՁ) ակտիվ</t>
  </si>
  <si>
    <t>Վարձակալության գծով պարտավորություն</t>
  </si>
  <si>
    <t>Զուտ հարկային ակտիվ (պարտա­վորություն)</t>
  </si>
  <si>
    <t>հազար դրամ</t>
  </si>
  <si>
    <t>Հաշվեկշռային արժեք</t>
  </si>
  <si>
    <t>Հարկային բազա</t>
  </si>
  <si>
    <t>Ժամանակավոր տարբերություն</t>
  </si>
  <si>
    <t>Առևտր. և այլ. դպ</t>
  </si>
  <si>
    <t>ՉԱՊ</t>
  </si>
  <si>
    <t>Հետաձգված Հարկեր</t>
  </si>
  <si>
    <t>դրամի երաշխիքների պահուստի հետ կապված ծախս</t>
  </si>
  <si>
    <t xml:space="preserve"> Ընկերությունն ունի իրավական պարտավորություն և պետք է իր շահույթի կամ վնասի մասին հաշվետվության մեջ ճանաչի</t>
  </si>
  <si>
    <t>Պարտավորության հաշվեկշռային արժեքը 2025թ. դեկտեմբերի 31-ի դրությամբ</t>
  </si>
  <si>
    <t>Պետական դրամաշնորհը ճանաչվում է եկամուտ՝ այն հաշվետու ժամանակահատվածների ընթացքում, որոնցում ճանաչվում են համապատասխան ծախսերը, այսինքն՝ ակտիվի օգտակար ծառայության ողջ ընթացքում՝ 10 տարի՝ սկսած 2025 թվականի օգոստոսի 1-ից։</t>
  </si>
  <si>
    <t>ԽՆԴԻՐ 2</t>
  </si>
  <si>
    <t>Համապարփակ ֆինանսական արդյունքների մասին համախմբված հաշվետվություն 
               31/12/2023թ-ին ավարտված տարվա համար։</t>
  </si>
  <si>
    <t>Հազ․ դրամ</t>
  </si>
  <si>
    <t>Ճշտումներ</t>
  </si>
  <si>
    <t>Համախմբված</t>
  </si>
  <si>
    <t>«Վանատուր»</t>
  </si>
  <si>
    <t>«Ծովինար»</t>
  </si>
  <si>
    <t>Հասույթ</t>
  </si>
  <si>
    <t>քայլ 5</t>
  </si>
  <si>
    <t>միավոր</t>
  </si>
  <si>
    <t>Վաճառքի ինքնարժեք</t>
  </si>
  <si>
    <t>Համախառն շահույթ</t>
  </si>
  <si>
    <t>Իրացման ծախսեր</t>
  </si>
  <si>
    <t>քայլ 1</t>
  </si>
  <si>
    <t>Վարչական ծախսեր</t>
  </si>
  <si>
    <t>քայլ 4</t>
  </si>
  <si>
    <t>Տոկոսային եկամուտ</t>
  </si>
  <si>
    <t>Տոկոսային ծախսեր</t>
  </si>
  <si>
    <t>քայլ 2</t>
  </si>
  <si>
    <t>Ակնկալվող պարտքային կորուստների գծով պահուստին հատկացում</t>
  </si>
  <si>
    <t>քայլ 6</t>
  </si>
  <si>
    <t>«Դուստր»-ի շահաբաժնիներից եկամուտ</t>
  </si>
  <si>
    <t>քայլ 3</t>
  </si>
  <si>
    <t>Շահույթը մինչև հարկերը</t>
  </si>
  <si>
    <t>Հարկի գծով ծախս</t>
  </si>
  <si>
    <t>Տարվա շահույթը</t>
  </si>
  <si>
    <t>Չվերահսկվող բաժնեմասին
վերագրվող</t>
  </si>
  <si>
    <t>քայլ 9</t>
  </si>
  <si>
    <t>Մայր կազմակերպության
սեփականատերերին
վերագրվող</t>
  </si>
  <si>
    <t>Այլ համապարփակ ֆին․ արդյունք</t>
  </si>
  <si>
    <t>ՀՄ վերագնահատումից եկամուտ</t>
  </si>
  <si>
    <t>Համապարփակ ֆին․ արդյունք</t>
  </si>
  <si>
    <t>Ֆինանսական վիճակի մասին համախմբված հաշվետվություն 31/12/2025թ-ի դրությամբ։</t>
  </si>
  <si>
    <t>Դոբմին</t>
  </si>
  <si>
    <t>Կրոֆին</t>
  </si>
  <si>
    <t>Հենսին</t>
  </si>
  <si>
    <t>Ճշտումներ Կրոֆին Ընկերությանը վերաբերող</t>
  </si>
  <si>
    <t>Ճշտումներ Հենսին Ընկերությանը վերաբերող</t>
  </si>
  <si>
    <t>Ոչ ընթացիկ ակտիվներ</t>
  </si>
  <si>
    <r>
      <t xml:space="preserve">     </t>
    </r>
    <r>
      <rPr>
        <sz val="10"/>
        <color theme="1"/>
        <rFont val="GHEA Grapalat"/>
        <family val="3"/>
      </rPr>
      <t>Հիմնական միջոցներ</t>
    </r>
  </si>
  <si>
    <t xml:space="preserve">     Ներդրումային գույք</t>
  </si>
  <si>
    <t xml:space="preserve">     Գուդվիլ</t>
  </si>
  <si>
    <t xml:space="preserve">     Ներդրումներ «Դուստր»-ում Krol</t>
  </si>
  <si>
    <t xml:space="preserve">     Ներդրումներ «Դուստր»-ում Henz</t>
  </si>
  <si>
    <t xml:space="preserve">      </t>
  </si>
  <si>
    <t>Ընթացիկ ակտիվներ</t>
  </si>
  <si>
    <t xml:space="preserve">      Պաշարներ</t>
  </si>
  <si>
    <t xml:space="preserve">      Դեբիտորական պարտքեր</t>
  </si>
  <si>
    <t xml:space="preserve">      Դրամական միջոցներ</t>
  </si>
  <si>
    <t>Կապիտալ և պարտավորություններ</t>
  </si>
  <si>
    <t>Կապիտալ</t>
  </si>
  <si>
    <t xml:space="preserve">      Բաժնետիրական կապիտալ (1 դրամ յուրաքանչյուրը)</t>
  </si>
  <si>
    <t xml:space="preserve">      Էմիսիոն եկամուտ</t>
  </si>
  <si>
    <t>Վերագնահատման պահուստ</t>
  </si>
  <si>
    <t>Կուտակված շահույթ</t>
  </si>
  <si>
    <t>Չվերահսկվող բաժնեմաս</t>
  </si>
  <si>
    <t>քայլ 7</t>
  </si>
  <si>
    <t>Ընթացիկ պարտավորություններ</t>
  </si>
  <si>
    <t>Պարտավորություն բաժնետոմսերի ձեռքբերման գծով</t>
  </si>
  <si>
    <t>Կրեդիտորական պարտքեր</t>
  </si>
  <si>
    <t>Ընդամենը կապիտալ և պարտավորություններ</t>
  </si>
  <si>
    <t>Քայլ 1 Դուստր կազմակերպոթյան զուտ ակտիվների հաշվարկ</t>
  </si>
  <si>
    <t>Ձեռքբերման պահին</t>
  </si>
  <si>
    <t>Հաշվետու ժամ-շրջանի ավարտ</t>
  </si>
  <si>
    <t>Փոփոխություն</t>
  </si>
  <si>
    <t>Ներխմբային վաճառքից չիրացված շահույթ</t>
  </si>
  <si>
    <t>Դուստր</t>
  </si>
  <si>
    <t>Մայր</t>
  </si>
  <si>
    <t>Քայլ 2 Դուստր կազմակերպոթյան ձեռքբերում, գուդվիլի հաշվարկ</t>
  </si>
  <si>
    <t>Փոխանցված հատուցում</t>
  </si>
  <si>
    <t>Դրամական միջոցների վճարում</t>
  </si>
  <si>
    <t xml:space="preserve">Բաժնետոմսերի փոխանակում </t>
  </si>
  <si>
    <t>Չվերահսկվող բաժնեմասի իրական արժեք</t>
  </si>
  <si>
    <t>Զուտ ակտիվների արժեք ձեռքբերման պահին</t>
  </si>
  <si>
    <t>ԶԱ իրական արժեք</t>
  </si>
  <si>
    <t>Գուդվիլ ձեռքբերման պահին</t>
  </si>
  <si>
    <t>Արժեզրկում</t>
  </si>
  <si>
    <t>Գուդվիլ հաշվետու ժամանակաշրջանի ավարտին</t>
  </si>
  <si>
    <t>Քայլ 3</t>
  </si>
  <si>
    <t>Բաժնետոմսերի գծով հետաձգված հատուցման տոկոսային ծախսի հաշվեգրում (80,000*9%)</t>
  </si>
  <si>
    <t>Քայլ 4 Դուստրի զուտ ակտիվների իրական արժեքի տարբերություների հետագա հաշվառումը</t>
  </si>
  <si>
    <t>Ձեռքբերման պահին իրական արժեքի տարբերությունը</t>
  </si>
  <si>
    <t>Լրացուցիչ մաշվածության գծով ծախս  (16000/4)</t>
  </si>
  <si>
    <t>Հաշվեկշռային արժեքը հաշվետու ժամանակաշրջանի վերջին</t>
  </si>
  <si>
    <t>Քայլ 5 չիրացված շահույթ</t>
  </si>
  <si>
    <t>Պաշարների վաճառք</t>
  </si>
  <si>
    <t>Ներխմբային վաճառքից հասույթ</t>
  </si>
  <si>
    <t>Ներխմբային վաճառքի գծով ինքնարժեքի ծախս</t>
  </si>
  <si>
    <t>Ներխմբային վաճառքի գծով շահույթ</t>
  </si>
  <si>
    <t>Չիրացված շահույթի մնացորդը հաշվետու ժամանակաշրջանի ավարտին (24000-20000)/2</t>
  </si>
  <si>
    <t>Պաշարների մնացորդի ճշտում</t>
  </si>
  <si>
    <t>Չվճարված դեբիտորական պարտքերի /կրեդիտորական պարքերի փոխբացառում</t>
  </si>
  <si>
    <t>Քայլ 6 Խմբի կուտակված շահույթ</t>
  </si>
  <si>
    <t>Մայր կազմ․ կուտակված շահույթ</t>
  </si>
  <si>
    <t>Դուստր կազմակերպության հետձեռքբերումային շահույթ</t>
  </si>
  <si>
    <t>Չիրացված շահույթ</t>
  </si>
  <si>
    <t>Գուդվիլի արժեզրկում</t>
  </si>
  <si>
    <t>Տոկոսային ծախս/հետաձգված հատուցումից</t>
  </si>
  <si>
    <t>Լրացուցիչ մաշվածություն ՀՄ իրական արժեքի տարբերության գծով</t>
  </si>
  <si>
    <t>Ներդրումային գույքի իրական արժեքի ճշտում</t>
  </si>
  <si>
    <t>Դուստր կազմ․ շահաբաժին</t>
  </si>
  <si>
    <t>Ընդամենը</t>
  </si>
  <si>
    <t>Խմբի մասնաբաժինը</t>
  </si>
  <si>
    <t>Քայլ 7 Չվերահսկվող բաժնեմաս</t>
  </si>
  <si>
    <t>Ձեռքբերման պահին իրական արժեք</t>
  </si>
  <si>
    <t>Շահաբաժինների հայտարարում չվերահսկվող բաժնեմասին բաժին ընկնող մասը</t>
  </si>
  <si>
    <t>Հետձեռքբերումային շահույթի / Վնասի մանաբաժին</t>
  </si>
  <si>
    <t>Դուստր կազմակերպության հետձեռքբերումային վերագնահատման պահուստ</t>
  </si>
  <si>
    <t xml:space="preserve">«Էյչ ընդ Սի» ՓԲԸ </t>
  </si>
  <si>
    <t>Փորձնական հաշվեկշիռ</t>
  </si>
  <si>
    <t>Սեփական կապիտալում փոփոխությունների մասին հաշվետվություն</t>
  </si>
  <si>
    <t>31 Դեկտեմբերի 2025</t>
  </si>
  <si>
    <t>Հազ դր</t>
  </si>
  <si>
    <t>Դեբետ</t>
  </si>
  <si>
    <t>Կրեդիտ</t>
  </si>
  <si>
    <t>Ճշտ 1</t>
  </si>
  <si>
    <t>Ճշտ 2</t>
  </si>
  <si>
    <t>Ճշտ 3</t>
  </si>
  <si>
    <t>Ճշտ 4</t>
  </si>
  <si>
    <t>Ճշտ 5</t>
  </si>
  <si>
    <t>Ճշտ 6</t>
  </si>
  <si>
    <t>Ճշտ 7</t>
  </si>
  <si>
    <t>Ճշտ 8</t>
  </si>
  <si>
    <t>Ճշտ 10</t>
  </si>
  <si>
    <t>Ճշտ 11</t>
  </si>
  <si>
    <t xml:space="preserve">      Բաժնետիրական կապիտալ (յուրաքանչյուրը՝ 1 դրամ անվանական արժեքով ) առ 01․01․2025</t>
  </si>
  <si>
    <t>Էմիսիոն եկամուտ առ 01․01․2025</t>
  </si>
  <si>
    <t>Վերագնահատման պահուստ առ 01․01․2025</t>
  </si>
  <si>
    <t>Կուտակված շահույթ առ 01․01․2025</t>
  </si>
  <si>
    <t xml:space="preserve">     Սեփական կապիտալի այլ տարրեր  (Փոխարկելի պարտատոմսեր)</t>
  </si>
  <si>
    <t>Շ/Վ</t>
  </si>
  <si>
    <t>Կանոնադրական կապիտալի համալրում</t>
  </si>
  <si>
    <t>Նախորդ ժամ-շրջանի սխալի ուղղման ազդեցությունը</t>
  </si>
  <si>
    <t>Սեփական կապիտալի այլ տարրեր  (Փոխարկելի պարտատոմսեր)</t>
  </si>
  <si>
    <t>Փոխարկելի պարտատոմսերի թողարկում</t>
  </si>
  <si>
    <t>Շահույթ նախքան ճշգրտումներն առ 31․12․2025</t>
  </si>
  <si>
    <t>Վճարված շահաբաժիններ</t>
  </si>
  <si>
    <t>Փոխարկելի պարտատոմսեր 4%</t>
  </si>
  <si>
    <t>Պայմանագրի կատարման հետ կապված մինչ օրս կատարված ծախսեր</t>
  </si>
  <si>
    <t>Ֆինանսական Վիճակի մասին հաշվետվություն</t>
  </si>
  <si>
    <t>Պաշարներ</t>
  </si>
  <si>
    <t>Դեբիտորական պարտավորություններ</t>
  </si>
  <si>
    <t>Պայմանգրային ակտիվներ</t>
  </si>
  <si>
    <t>Դրամական միջոցներ</t>
  </si>
  <si>
    <t>Ընթացիկ պահուստներ</t>
  </si>
  <si>
    <t xml:space="preserve">Հիմնական Միջոցներ </t>
  </si>
  <si>
    <t>Շահութահարկի գծով պարտավորություն</t>
  </si>
  <si>
    <t>Ք1- Պարտատոմսեր</t>
  </si>
  <si>
    <t>Բաժնետիրական կապիտալ (յուրաքանչյուրը՝ 1 դրամ անվանական արժեքով ) առ 01․01․2025</t>
  </si>
  <si>
    <t>Զեղչման դրույք (6%)</t>
  </si>
  <si>
    <t>Պարտավորության Ներկա արժեք</t>
  </si>
  <si>
    <t>Ընդամենը սեփական կապիտալ</t>
  </si>
  <si>
    <t>Ոչ ընթացիկ պարտավորություններ</t>
  </si>
  <si>
    <t>Ընդամենը պարտավորության արժեք</t>
  </si>
  <si>
    <t>Ճշտման ենթակա</t>
  </si>
  <si>
    <t>Դտ-Փոխարկելի պարտատոմսերի գծով պարտավորություն</t>
  </si>
  <si>
    <t>Կտ-Սեփական Կապիտալ</t>
  </si>
  <si>
    <t>Ընդամենը պարտավորություններ</t>
  </si>
  <si>
    <t>Պարտավորության սկ․ մնացորդ</t>
  </si>
  <si>
    <t>Հաշվեգրվող տոկոս</t>
  </si>
  <si>
    <t>Պարտավորության վն․ մնացորդ</t>
  </si>
  <si>
    <t>Դտ-Տոկոսային ծախս</t>
  </si>
  <si>
    <t>Կտ-Փոխարկելի պարտատոմսերի գծով պարտավորություն</t>
  </si>
  <si>
    <t>Ք2- Կառուսման պայմանգրերի գծով հասույթ</t>
  </si>
  <si>
    <t>Պայմանագրի ընդհանուր արժեք</t>
  </si>
  <si>
    <t>Պայմանագրի կատարման ծախսեր մինչ ավարտ</t>
  </si>
  <si>
    <t>Շահույթ հմձ պայմանագրի</t>
  </si>
  <si>
    <t>Ավարտվածության աստիճան</t>
  </si>
  <si>
    <t>Շահոույթ/վնասի վերաբերյալ հաշվետվությունում ճանաչման ենթակա</t>
  </si>
  <si>
    <t>Ինքնարժեք</t>
  </si>
  <si>
    <t>Շահոույթ</t>
  </si>
  <si>
    <t>Տվյալ պայմանգրի գծով ճանաչված դեբիտորական պարտավորություն</t>
  </si>
  <si>
    <t>Ճշտման ենթակա դեբիտորական պարտավորության արժեք</t>
  </si>
  <si>
    <t>Ք3- Բաժնետոմսերի թողարկում</t>
  </si>
  <si>
    <t>Բաժնետոմսերի թողարկում, որից</t>
  </si>
  <si>
    <t>Էմիսիոն եկամտի հաշվին առ 01․01․2025</t>
  </si>
  <si>
    <t>Կուտակված շահույթի հաշվին</t>
  </si>
  <si>
    <t>Օգտակար  ծառայության ժամկետ</t>
  </si>
  <si>
    <t>Վերագնահատված արժեք</t>
  </si>
  <si>
    <t>ԴՏ- Շ/Վ</t>
  </si>
  <si>
    <t>ԴՏ-Վերագնահատման պահուստ</t>
  </si>
  <si>
    <t>ԴՏ-Շ/Վ</t>
  </si>
  <si>
    <t>Ք5- Գույքագրումից ավելցուկ</t>
  </si>
  <si>
    <t>ԴՏ-Պաշարներ</t>
  </si>
  <si>
    <t>ԿՏ-Շ/Վ</t>
  </si>
  <si>
    <t>Ք6- Դատական գործ</t>
  </si>
  <si>
    <t>Դատական գործի վերաբերյալ պահուստ առ 31․12․2025</t>
  </si>
  <si>
    <t xml:space="preserve">Հաշվեկշռում որպես պահուստ ճանաչված </t>
  </si>
  <si>
    <t>Դտ- Շ/Վ</t>
  </si>
  <si>
    <t>Կտ-պահուստներ</t>
  </si>
  <si>
    <t>Կապիտալացված տոկոսագումար 12 ամսվա համար</t>
  </si>
  <si>
    <t>ԴՏ-Տոկոսային ծախսեր</t>
  </si>
  <si>
    <t>Կապիտալացված տոկոսագումարի արդյունքում ավել ճանաչված մաշվածության ծախսի հետճանաչում</t>
  </si>
  <si>
    <t>ԿՏ-Մաշվածոււթյան գծով ճանաչված ծախս</t>
  </si>
  <si>
    <t>դեբիտորական պարտքերի դուրսգրում</t>
  </si>
  <si>
    <t>ընթացիկ ժամ-շրջանում</t>
  </si>
  <si>
    <t>Նախորդ ժամ-շրջանին վերագրվող</t>
  </si>
  <si>
    <t>ԴՏ- Կուտակված շահույթ</t>
  </si>
  <si>
    <t>ԿՏ- Դեբիտորական պարտքեր</t>
  </si>
  <si>
    <t>Գործարրքի գումար</t>
  </si>
  <si>
    <t xml:space="preserve">Սկզբանպես ճանաչման ենթակա հասույթի գումար </t>
  </si>
  <si>
    <t>Արդեն իսկ ճանաչված դտ պարտավորություն</t>
  </si>
  <si>
    <t>Դեբիտերական պարտքի մնացորդ</t>
  </si>
  <si>
    <t>ԴՏ—Դեբիտորական պարտքեր</t>
  </si>
  <si>
    <t>ԿՏ—Շ/Վ</t>
  </si>
  <si>
    <t>ԿՏ-ֆին եկամուտ</t>
  </si>
  <si>
    <t>Վաճառքի գումար ԱՄՆ դոլարով</t>
  </si>
  <si>
    <t>1 ՀՀ դրամին համարժեք ԱՄՆ դոլար</t>
  </si>
  <si>
    <t>Վաճառքի գումար ՀՀ դրամով առ 01․12․2025</t>
  </si>
  <si>
    <t>ԴԵբիտորական պարտքի մնացորդն առ 31․12․2025</t>
  </si>
  <si>
    <t>Խնդիր 4</t>
  </si>
  <si>
    <t>Արմմաս ՓԲԸ</t>
  </si>
  <si>
    <t>Հազ դրամ</t>
  </si>
  <si>
    <t>Դրամական միջոցների հոսքերի մասին հաշվետվություն</t>
  </si>
  <si>
    <t>Գործառնական գործունեությունից հոսքեր</t>
  </si>
  <si>
    <t>Ճշգրտումներ</t>
  </si>
  <si>
    <t>Ոչ ընթացիկ ակտիվների մաշվածություն</t>
  </si>
  <si>
    <t>Ոչ ընթացիկ ակտիվների օտարումից օգուտ</t>
  </si>
  <si>
    <t>Պետական շնորհների գծով եկամտի ճանաչում</t>
  </si>
  <si>
    <t>Ապահովագրության գծով ճանաչված պայմանական ակտիվի(փոխհատուցման) աճ</t>
  </si>
  <si>
    <t>Ներդրումային գույք-իրական արժեքի փոփոխություն</t>
  </si>
  <si>
    <t>ՈՆԱ վերագնահատումից օգուտ</t>
  </si>
  <si>
    <t>ՈՆԱ արժեզրկման գծով կորուստ</t>
  </si>
  <si>
    <t>Տոկոսների գծով ծախս</t>
  </si>
  <si>
    <t>Արտարժույթի փոխարժեքային տարբերություններ</t>
  </si>
  <si>
    <t>Գործառնական գործունեությունից հոսքեր մինչև գործող կապիտալի փոփոխությունները</t>
  </si>
  <si>
    <t>Պաշարների փոփոխություն</t>
  </si>
  <si>
    <t>Դեբիտորական պարտքերի փոփոխություն</t>
  </si>
  <si>
    <t>Կրեդիտորական պարտքերի փոփոխություն</t>
  </si>
  <si>
    <t>Գործառնական գործունեությունից դրամական  հոսքեր</t>
  </si>
  <si>
    <t>Վճարված տոկոսներ</t>
  </si>
  <si>
    <t>Վճարված շահաբաժին</t>
  </si>
  <si>
    <t>Վճարված շահութահարկ</t>
  </si>
  <si>
    <t>Գործառնական գործունեությունից զուտ դրամական հոսքեր</t>
  </si>
  <si>
    <t>Ներդրումային գործունեությունից հոսքեր</t>
  </si>
  <si>
    <t>Ստացված տոկոսային եկամուտ</t>
  </si>
  <si>
    <t>Հիմնական միջոցների վաճառքից մուտքեր</t>
  </si>
  <si>
    <t>Հիմնական միջոցների ձեռքբերումից հոսքեր</t>
  </si>
  <si>
    <t>ՈՆԱ ձեռքբերումից հոսքեր</t>
  </si>
  <si>
    <t>Ներդրումային գույքի ձեռքբերումից հոսքեր</t>
  </si>
  <si>
    <t>Ներդրումային գործունեությունից զուտ մուտքեր</t>
  </si>
  <si>
    <t>Ֆիանանսավորման գործունեությունից հոսքեր</t>
  </si>
  <si>
    <t>Բաժնետոմսերի թողարկումից մուտքեր</t>
  </si>
  <si>
    <t>Վարձակալության գծով պարտավորության մարում</t>
  </si>
  <si>
    <t>Վարկերի մարում</t>
  </si>
  <si>
    <t>Վարկերի ներգրավումից մուտքեր</t>
  </si>
  <si>
    <t>Ֆիանանսավորման գործունեությունից զուտ հոսքեր</t>
  </si>
  <si>
    <t>Դրամական միջոցների և դրա  համարժեքների զուտ աճ</t>
  </si>
  <si>
    <t>Արտարժույթի փոխարժեքային տարբերությունների ազդեցությունը ԴՄ-ի վրա</t>
  </si>
  <si>
    <t>Դրամական միջոցների և դրա  համարժեքների մնացորդը տարեսկզբին</t>
  </si>
  <si>
    <t>Դրամական միջոցների և դրա  համարժեքների մնացորդը տարեվերջին</t>
  </si>
  <si>
    <t>Քայլ 1</t>
  </si>
  <si>
    <t>Ոչ ընթացիկ ակտիվի օտարումից շահույթ 12000-(8600-1200)</t>
  </si>
  <si>
    <t>ՀՄ մնացորդը տարվա սկզբին</t>
  </si>
  <si>
    <t>ՀՄ օտարում</t>
  </si>
  <si>
    <t>ՀՄ մաշվածություն</t>
  </si>
  <si>
    <t>ՀՄ մնացորդը տարվա վերջին</t>
  </si>
  <si>
    <t>Օգտագործման իրավունքի ձևով ակտիվների ձեռքբերրում</t>
  </si>
  <si>
    <t>Ներդրումային գույքի փոխանցում</t>
  </si>
  <si>
    <t>ՀՄ ձեռքբերում</t>
  </si>
  <si>
    <t>Վճարումներ ՀՄ ձեռքբերման դիմաց</t>
  </si>
  <si>
    <t>Քայլ 2</t>
  </si>
  <si>
    <t>ՈՆԱ մնացորդը տարվա սկզբին</t>
  </si>
  <si>
    <t>ՈՆԱ մաշվածություն</t>
  </si>
  <si>
    <t>ՈՆԱ մնացորդը տարվա վերջին</t>
  </si>
  <si>
    <t>ՈՆԱ ձեռքբերում</t>
  </si>
  <si>
    <t>Ներդրումային գույք</t>
  </si>
  <si>
    <t>ՆԳ մնացորդը տարվա սկզբին</t>
  </si>
  <si>
    <t>ՆԳ  ձեռքբերում</t>
  </si>
  <si>
    <t>ՀՄ  փոխանցում</t>
  </si>
  <si>
    <t>ՆԳ  մնացորդը տարվա վերջին</t>
  </si>
  <si>
    <t>Քայլ 4</t>
  </si>
  <si>
    <t>Դեբիտորական պարտքեր</t>
  </si>
  <si>
    <t>Փոխարժեքային տարբերություներ</t>
  </si>
  <si>
    <t>Քայլ 5</t>
  </si>
  <si>
    <t>31.12.2025</t>
  </si>
  <si>
    <t>31.12.2024</t>
  </si>
  <si>
    <t>Մնացորդը</t>
  </si>
  <si>
    <t>որից ՀՄ գծով</t>
  </si>
  <si>
    <t>Քայլ 6</t>
  </si>
  <si>
    <t>Վարձակալության գծով պարտավորության  մնացորդը տարվա սկզբին</t>
  </si>
  <si>
    <t>Նոր պայմանագրի կնքում</t>
  </si>
  <si>
    <t>Պարտավորության մարում</t>
  </si>
  <si>
    <t>Վարձակալության գծով պարտավորության  մնացորդը տարվա վերջին</t>
  </si>
  <si>
    <t>Քայլ 7</t>
  </si>
  <si>
    <t>Պետական շնորհների գծով պարտավորություն</t>
  </si>
  <si>
    <t>Պետական շնորհների գծով պարտավորության մնացորդը տարվա սկզբին</t>
  </si>
  <si>
    <t>Պետական շնորհների գծով պարտավորության մնացորդը տարվա վերջին</t>
  </si>
  <si>
    <t>Քայլ 8</t>
  </si>
  <si>
    <t>Շահութահարկի գծով պարտավորության մնացորդը տարվա սկզբին</t>
  </si>
  <si>
    <t>Հարկի գծով փոխհատուցում</t>
  </si>
  <si>
    <t>Հետաձգված հարկի գծով</t>
  </si>
  <si>
    <t>Շահութահարկի գծով պարտավորության մնացորդը տարվա վերջին</t>
  </si>
  <si>
    <t>Քայլ 9</t>
  </si>
  <si>
    <t>Սեփական կապիտալ</t>
  </si>
  <si>
    <t>Բաժնետիրական կապիտալ</t>
  </si>
  <si>
    <t>Բաժնետոմսերի հավելագին</t>
  </si>
  <si>
    <t>Տարեսկզբի մնացորդ</t>
  </si>
  <si>
    <t>Պարգևատրումային թողարկում (12000/4)</t>
  </si>
  <si>
    <t>Վնաս</t>
  </si>
  <si>
    <t>Տարեվերջի մնացորդ</t>
  </si>
  <si>
    <t>Ֆինանսական վիճակի մասին հաշվետվություն</t>
  </si>
  <si>
    <t>31.12.2025թ.</t>
  </si>
  <si>
    <t>31.12.2024թ.</t>
  </si>
  <si>
    <t>Ընդամենը ոչ ընթացիկ ակտիվներ</t>
  </si>
  <si>
    <t>Առևտրական և այլ դեբիտորական պարտքեր</t>
  </si>
  <si>
    <t>Ապահովագրության գծով փոխհատուցում</t>
  </si>
  <si>
    <t>Դրամական միջոցներ և դրանց համարժեքներ</t>
  </si>
  <si>
    <t>-</t>
  </si>
  <si>
    <t>Ընդամենը ընթացիկ ակտիվներ</t>
  </si>
  <si>
    <t xml:space="preserve">        Բաժնետիրական կապիտալ (սովորական  բաժնետոմսեր`յուրաքանչյուրը 1,000 դրամ  անվանական արժեքով)</t>
  </si>
  <si>
    <t>Ստացված վարկեր 6%</t>
  </si>
  <si>
    <t>Ստացված վարկեր 10%</t>
  </si>
  <si>
    <t>Հետաձգված հարկային պարտավորություններ</t>
  </si>
  <si>
    <t>Ընդամենը ոչ ընթացիկ պարտավորություններ</t>
  </si>
  <si>
    <t>Բանկային օվերդրաֆտ</t>
  </si>
  <si>
    <t>Առևտրական և այլ կրեդիտորական պարտքեր</t>
  </si>
  <si>
    <t>Ընդամենը ընթացիկ պարտավորություններ</t>
  </si>
  <si>
    <t>Ընդամենը սեփական կապիտալ և պարտավորություններ</t>
  </si>
  <si>
    <t>Ֆինանսական արդյունքների մասին հաշվետվություն</t>
  </si>
  <si>
    <t>Գործառնական գործունեության արդյունքներ</t>
  </si>
  <si>
    <t xml:space="preserve">Փոխարժեքային տարբերություններից օգուտ </t>
  </si>
  <si>
    <t>Շահութահարկի գծով փոխհատուցում (ծախս)</t>
  </si>
  <si>
    <t>ՀՄ</t>
  </si>
  <si>
    <t>Կուտակված մաշվածություն</t>
  </si>
  <si>
    <t>Մնացորդային արժեք</t>
  </si>
  <si>
    <t>31․12․2025</t>
  </si>
  <si>
    <t>31․12․2024</t>
  </si>
  <si>
    <t>Ոչ նյութական ակտիվ</t>
  </si>
  <si>
    <t>5 միավոր</t>
  </si>
  <si>
    <t>Ֆինարա ՍՊԸ</t>
  </si>
  <si>
    <t>Համապարփակ ֆինանսական արդյունքների մասին հաշվետվություն 
               31/12/2025թ-ին ավարտված տարվա համար</t>
  </si>
  <si>
    <t>Գործակիցների հաշվարկ</t>
  </si>
  <si>
    <t>Հազ ՀՀ դրամ</t>
  </si>
  <si>
    <t>Համախառն շահույթի մարժա</t>
  </si>
  <si>
    <t>Գործառնական ծախսեր</t>
  </si>
  <si>
    <t>Գործառնական շահույթ</t>
  </si>
  <si>
    <t>Գործառնական շահույթի մարժա</t>
  </si>
  <si>
    <t>Իրական արժեքով՝ շահույթի կամ վնասի միջոցով չափվող (ԻԱՇՎ) ֆինանսական ակտիվների վերագնահաումից կորուստ</t>
  </si>
  <si>
    <t>Սեփական կապիտալի եկամտաբերություն</t>
  </si>
  <si>
    <t>Շահույթը (վնաս)  մինչև տոկոսային ծախսը և հարկերը</t>
  </si>
  <si>
    <t>Զուտ ակտիվների շրջանառության գործակից</t>
  </si>
  <si>
    <t>Շահույթը (վնաս)  մինչև հարկերը</t>
  </si>
  <si>
    <t>Հարկի գծով ծախս (փոխհատուցում)</t>
  </si>
  <si>
    <t>Կտ․ պարտավորություննների շրջապտույտի տևողություն</t>
  </si>
  <si>
    <t xml:space="preserve">Տարվա շահույթը (վնաս) </t>
  </si>
  <si>
    <t>Դտ․ պարտավորություննների շրջապտույտի տևողություն</t>
  </si>
  <si>
    <t>Այլ համապարփակ ֆինանսական արդյունք</t>
  </si>
  <si>
    <t>Պաշարների շրջապտույտի տևողություն</t>
  </si>
  <si>
    <t>Ընդամենը համապարփակ ֆինանսական արդյունք տարվա համար</t>
  </si>
  <si>
    <t>Ֆինանսական վիճակի մասին  հաշվետվություն 31/12/2025թ-ի դրությամբ</t>
  </si>
  <si>
    <t>Իրական արժեքով՝ շահույթի կամ վնասի միջոցով չափվող (ԻԱՇՎ) ֆինանսական ակտիվներ</t>
  </si>
  <si>
    <t xml:space="preserve">      Հարկային ակտիվ</t>
  </si>
  <si>
    <t xml:space="preserve">      Բաժնետիրական կապիտալ (1000 դրամ յուրաքանչյուրը)</t>
  </si>
  <si>
    <t>Ստացված փոխառություններ</t>
  </si>
  <si>
    <t>Շահույթ 2025թ համար</t>
  </si>
  <si>
    <t xml:space="preserve">1  բաժնետոմսին ընկնող շահույթը </t>
  </si>
  <si>
    <t xml:space="preserve"> Իրական արժեքի տարբերության գծով</t>
  </si>
  <si>
    <t xml:space="preserve"> Պայմանագրերի գծով հաճախորդից ստացված դրամական միջոցներ</t>
  </si>
  <si>
    <t>Բաժնետոմսերի միջին կշռված քանակ</t>
  </si>
  <si>
    <t>2 միավոր</t>
  </si>
  <si>
    <t>1,5 միավոր</t>
  </si>
  <si>
    <t>1 միավոր</t>
  </si>
  <si>
    <t>3 միավոր</t>
  </si>
  <si>
    <t>Մեկ բաժնետոմսին ընկնող շահույթը .</t>
  </si>
  <si>
    <t>Վերակառուցման պահուստ</t>
  </si>
  <si>
    <t>Իրական արժեք</t>
  </si>
  <si>
    <t>ԴՏ-Արտարժույթի փոխխարժեքային վերգնահատումից օգուտ/վնաս</t>
  </si>
  <si>
    <t>ԿՏ—Դեբիտորական պարտքեր</t>
  </si>
  <si>
    <t>Շենքեր  առ 01․01․2025</t>
  </si>
  <si>
    <t>Արտադրական գույք առ 01․01․2025</t>
  </si>
  <si>
    <t>Ք4- Արտադրական գույք</t>
  </si>
  <si>
    <t>Արտադրական գույք առ 31․12․2025</t>
  </si>
  <si>
    <t>ԿՏ-Արտադրական գույք</t>
  </si>
  <si>
    <t>ԿՏ- Շենքեր</t>
  </si>
  <si>
    <t>ԴՏ-Շենքեր</t>
  </si>
  <si>
    <t>Ոչ նյութական ակտիվների վերագնահատումից առաջացած ավելցուկ</t>
  </si>
  <si>
    <t>Շահույթ (վնաս) նախքան շահութահարկով հարկումը</t>
  </si>
  <si>
    <t>Տարվա զուտ շահույթը (վնաս)</t>
  </si>
  <si>
    <t>Հիմնական միջոցների հաշվեկշռային արժեքը 2025թ. դեկտեմբերի 31-ի դրությամբ</t>
  </si>
  <si>
    <r>
      <t>Նախագիծ 2-ի վրա կատարված ծախսերը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պետք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է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ծախսագրվեն</t>
    </r>
    <r>
      <rPr>
        <sz val="12"/>
        <color theme="1"/>
        <rFont val="Aptos"/>
        <family val="2"/>
      </rPr>
      <t xml:space="preserve"> 2025 </t>
    </r>
    <r>
      <rPr>
        <sz val="12"/>
        <color theme="1"/>
        <rFont val="Sylfaen"/>
        <family val="1"/>
      </rPr>
      <t>թվականի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մարտի</t>
    </r>
    <r>
      <rPr>
        <sz val="12"/>
        <color theme="1"/>
        <rFont val="Aptos"/>
        <family val="2"/>
      </rPr>
      <t xml:space="preserve"> 31-</t>
    </r>
    <r>
      <rPr>
        <sz val="12"/>
        <color theme="1"/>
        <rFont val="Sylfaen"/>
        <family val="1"/>
      </rPr>
      <t>ին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ավարտված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տարվա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Ընկերության շահույթ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կամ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վնասի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վերաբերյալ հաշվետվությունում։</t>
    </r>
  </si>
  <si>
    <r>
      <t>Նախագիծ 3-ի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վրա կատարված ծախսերը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պետք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է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ճանաչվեն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որպես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ակտիվ</t>
    </r>
    <r>
      <rPr>
        <sz val="12"/>
        <color theme="1"/>
        <rFont val="Aptos"/>
        <family val="2"/>
      </rPr>
      <t xml:space="preserve"> 2025 </t>
    </r>
    <r>
      <rPr>
        <sz val="12"/>
        <color theme="1"/>
        <rFont val="Sylfaen"/>
        <family val="1"/>
      </rPr>
      <t>թվականի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մարտի</t>
    </r>
    <r>
      <rPr>
        <sz val="12"/>
        <color theme="1"/>
        <rFont val="Aptos"/>
        <family val="2"/>
      </rPr>
      <t xml:space="preserve"> 31-</t>
    </r>
    <r>
      <rPr>
        <sz val="12"/>
        <color theme="1"/>
        <rFont val="Sylfaen"/>
        <family val="1"/>
      </rPr>
      <t>ի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դրությամբ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Ընկերության ֆինանսական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վիճակի մասին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հաշվետվությունում։</t>
    </r>
  </si>
  <si>
    <t>Ընկերության շահույթ  կամ վնասի վերաբերյալ հաշվետվությունում վերագնահատումից օգուտ՝ 3,500 հազար դրամի չափով։</t>
  </si>
  <si>
    <t>քայլ 2,3</t>
  </si>
  <si>
    <t>Քայլ 8 Խմբի վերագնահատման պահուստ</t>
  </si>
  <si>
    <t>քայլ 8</t>
  </si>
  <si>
    <t>Ֆինանսական լծակի գործակից (gearing) (ՈԸՊ/ՍԿ)</t>
  </si>
  <si>
    <t>Ճշտ 9</t>
  </si>
  <si>
    <t>Ք7- Կապիտալացված տոկոսագումար</t>
  </si>
  <si>
    <t>Ք8- Խարդախության բացահայտում</t>
  </si>
  <si>
    <t>Ք9-  Վաճառք՝ նշանակալի ֆինանսավորման բաղադրիչով</t>
  </si>
  <si>
    <t>Ք10-  Արտարժութային գործարք</t>
  </si>
  <si>
    <t>Ճշտման ենթակա առ 01.12.2025</t>
  </si>
  <si>
    <t>Ճշտման ենթակա առ 31.12.2025</t>
  </si>
  <si>
    <t>ԴՏ-Դեբիտորական պարտքեր</t>
  </si>
  <si>
    <t>Գործարանի վաճառքի հետևանքով վերջինիս գծով վերագնատաման ավելցուկի վերագրում կուտակված շահույթին</t>
  </si>
  <si>
    <t>Շնորհի սարքավորում</t>
  </si>
  <si>
    <t>Հաշվեկշռային արժեք՝  ՀՀ դրամով</t>
  </si>
  <si>
    <t xml:space="preserve">Ընկերությունը պետք է վերագնահատի կենսաբանական ակտիվների արժեքը՝  24,500 հազար դրամ և ճանաչի </t>
  </si>
  <si>
    <r>
      <t>Հետաձգված հատուցում, 1</t>
    </r>
    <r>
      <rPr>
        <b/>
        <sz val="10"/>
        <rFont val="GHEA Grapalat"/>
        <family val="3"/>
      </rPr>
      <t xml:space="preserve"> տարի</t>
    </r>
  </si>
  <si>
    <t xml:space="preserve"> իրական արժեքի տարբերության գծով ամորտիզացիա</t>
  </si>
  <si>
    <t>Շահույթ (վնաս) մինչ հարկումը</t>
  </si>
  <si>
    <t>Հազ. դրամ</t>
  </si>
  <si>
    <t>1-1</t>
  </si>
  <si>
    <t>Վաճառք և հետվարձակալություն</t>
  </si>
  <si>
    <t>2-2</t>
  </si>
  <si>
    <t>3-4</t>
  </si>
  <si>
    <t>4-3</t>
  </si>
  <si>
    <t>5-1</t>
  </si>
  <si>
    <t>Պետական դրամաշնորհներ</t>
  </si>
  <si>
    <t>Փոխարկելի պարտատոմսեր</t>
  </si>
  <si>
    <t>Պահուստներ</t>
  </si>
  <si>
    <t>6-1</t>
  </si>
  <si>
    <t>7-1</t>
  </si>
  <si>
    <t>8-3</t>
  </si>
  <si>
    <t>10-2</t>
  </si>
  <si>
    <t>Հաշվարկված ՀՀ գործող դրույքաչափով՝ 18%-ով՝</t>
  </si>
  <si>
    <t>Հաշվարկված  20% դրույքաչափով՝</t>
  </si>
  <si>
    <t>Ցանկացած դրույքաչափով կատարված հաշվարկը համարել ճիշտ։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</si>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</sst>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Yes&quot;;&quot;Yes&quot;;&quot;No&quot;"/>
    <numFmt numFmtId="167" formatCode="_-* #,##0.00_-;\-* #,##0.00_-;_-* &quot;-&quot;??_-;_-@_-"/>
    <numFmt numFmtId="168" formatCode="_-* #,##0_-;\-* #,##0_-;_-* &quot;-&quot;??_-;_-@_-"/>
    <numFmt numFmtId="169" formatCode="_(* #,##0.0_);_(* \(#,##0.0\);_(* &quot;-&quot;?_);_(@_)"/>
    <numFmt numFmtId="170" formatCode="_-* #,##0.000_-;\-* #,##0.000_-;_-* &quot;-&quot;??_-;_-@_-"/>
    <numFmt numFmtId="171" formatCode="0.0%"/>
    <numFmt numFmtId="172" formatCode="_-* #,##0.0000_-;\-* #,##0.0000_-;_-* &quot;-&quot;??_-;_-@_-"/>
  </numFmts>
  <fonts count="5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lfaen"/>
      <family val="1"/>
    </font>
    <font>
      <sz val="11"/>
      <color theme="1"/>
      <name val="Aptos"/>
      <family val="2"/>
    </font>
    <font>
      <sz val="12"/>
      <color theme="1"/>
      <name val="Sylfaen"/>
      <family val="1"/>
    </font>
    <font>
      <sz val="12"/>
      <color theme="1"/>
      <name val="Aptos"/>
      <family val="2"/>
    </font>
    <font>
      <sz val="12"/>
      <color theme="1"/>
      <name val="Arial"/>
      <family val="2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i/>
      <sz val="8"/>
      <color theme="1"/>
      <name val="GHEA Grapalat"/>
      <family val="3"/>
    </font>
    <font>
      <i/>
      <sz val="8"/>
      <color rgb="FF000000"/>
      <name val="GHEA Grapalat"/>
      <family val="3"/>
    </font>
    <font>
      <b/>
      <i/>
      <sz val="8"/>
      <color rgb="FF00000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theme="1"/>
      <name val="GHEA Grapalat"/>
      <family val="3"/>
    </font>
    <font>
      <sz val="11"/>
      <color rgb="FFFF0000"/>
      <name val="Aptos Narrow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  <font>
      <i/>
      <u/>
      <sz val="11"/>
      <color theme="1"/>
      <name val="Aptos Narrow"/>
      <family val="2"/>
      <scheme val="minor"/>
    </font>
    <font>
      <sz val="7"/>
      <color rgb="FF5F6368"/>
      <name val="Arial"/>
      <family val="2"/>
    </font>
    <font>
      <b/>
      <sz val="10"/>
      <color theme="1"/>
      <name val="Verdana"/>
      <family val="2"/>
    </font>
    <font>
      <b/>
      <sz val="11"/>
      <color theme="1"/>
      <name val="Sylfaen"/>
      <family val="1"/>
    </font>
    <font>
      <sz val="10"/>
      <color theme="1"/>
      <name val="Verdana"/>
      <family val="2"/>
    </font>
    <font>
      <sz val="11"/>
      <color theme="1"/>
      <name val="Arial Armenian"/>
      <family val="2"/>
    </font>
    <font>
      <sz val="10"/>
      <color theme="1"/>
      <name val="Times New Roman"/>
      <family val="1"/>
    </font>
    <font>
      <b/>
      <sz val="11"/>
      <color theme="1"/>
      <name val="Arial Armenian"/>
      <family val="2"/>
    </font>
    <font>
      <sz val="11"/>
      <color rgb="FFFF0000"/>
      <name val="Verdana"/>
      <family val="2"/>
    </font>
    <font>
      <sz val="8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Arial Unicode"/>
      <family val="2"/>
    </font>
    <font>
      <b/>
      <i/>
      <sz val="12"/>
      <color rgb="FF000000"/>
      <name val="Arial Unicode"/>
      <family val="2"/>
    </font>
    <font>
      <b/>
      <sz val="12"/>
      <color rgb="FF000000"/>
      <name val="Arial Unicode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Unicode"/>
      <family val="2"/>
    </font>
    <font>
      <sz val="12"/>
      <color theme="1"/>
      <name val="Arial Unicode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Aptos Narrow"/>
      <scheme val="minor"/>
    </font>
    <font>
      <i/>
      <sz val="11"/>
      <color theme="1"/>
      <name val="Aptos Narrow"/>
      <scheme val="minor"/>
    </font>
    <font>
      <sz val="11"/>
      <name val="Aptos Narrow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11"/>
      <name val="Arial Unicode"/>
      <family val="2"/>
    </font>
    <font>
      <b/>
      <sz val="11"/>
      <name val="Aptos Narrow"/>
      <family val="2"/>
      <scheme val="minor"/>
    </font>
    <font>
      <sz val="11"/>
      <name val="Arial Armenian"/>
      <family val="2"/>
    </font>
    <font>
      <b/>
      <sz val="11"/>
      <color theme="1"/>
      <name val="Aptos Narrow"/>
      <scheme val="minor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9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5" fontId="0" fillId="0" borderId="9" xfId="1" applyNumberFormat="1" applyFont="1" applyBorder="1"/>
    <xf numFmtId="0" fontId="0" fillId="0" borderId="10" xfId="0" applyBorder="1" applyAlignment="1">
      <alignment vertical="top" wrapText="1"/>
    </xf>
    <xf numFmtId="165" fontId="0" fillId="0" borderId="11" xfId="1" applyNumberFormat="1" applyFont="1" applyBorder="1"/>
    <xf numFmtId="0" fontId="0" fillId="0" borderId="12" xfId="0" applyBorder="1" applyAlignment="1">
      <alignment vertical="top" wrapText="1"/>
    </xf>
    <xf numFmtId="0" fontId="0" fillId="0" borderId="13" xfId="0" applyBorder="1"/>
    <xf numFmtId="165" fontId="0" fillId="0" borderId="1" xfId="0" applyNumberFormat="1" applyBorder="1"/>
    <xf numFmtId="165" fontId="0" fillId="0" borderId="3" xfId="1" applyNumberFormat="1" applyFont="1" applyBorder="1"/>
    <xf numFmtId="165" fontId="0" fillId="0" borderId="6" xfId="1" applyNumberFormat="1" applyFont="1" applyBorder="1"/>
    <xf numFmtId="0" fontId="6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0" fillId="0" borderId="1" xfId="1" applyNumberFormat="1" applyFont="1" applyBorder="1" applyAlignment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165" fontId="2" fillId="0" borderId="0" xfId="0" applyNumberFormat="1" applyFont="1"/>
    <xf numFmtId="43" fontId="0" fillId="0" borderId="0" xfId="1" applyFont="1"/>
    <xf numFmtId="0" fontId="5" fillId="0" borderId="0" xfId="0" applyFont="1" applyAlignment="1">
      <alignment horizontal="justify" vertical="center" wrapText="1"/>
    </xf>
    <xf numFmtId="0" fontId="8" fillId="0" borderId="0" xfId="2" applyFont="1"/>
    <xf numFmtId="0" fontId="10" fillId="0" borderId="0" xfId="2" applyFont="1"/>
    <xf numFmtId="0" fontId="11" fillId="0" borderId="0" xfId="2" applyFont="1" applyAlignment="1">
      <alignment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165" fontId="8" fillId="0" borderId="0" xfId="1" applyNumberFormat="1" applyFont="1" applyFill="1" applyAlignment="1">
      <alignment wrapText="1"/>
    </xf>
    <xf numFmtId="165" fontId="9" fillId="0" borderId="0" xfId="1" applyNumberFormat="1" applyFont="1" applyFill="1" applyAlignment="1">
      <alignment horizontal="right" wrapText="1"/>
    </xf>
    <xf numFmtId="165" fontId="8" fillId="0" borderId="0" xfId="1" applyNumberFormat="1" applyFont="1" applyFill="1"/>
    <xf numFmtId="165" fontId="8" fillId="0" borderId="0" xfId="1" applyNumberFormat="1" applyFont="1" applyFill="1" applyAlignment="1">
      <alignment horizontal="right" wrapText="1"/>
    </xf>
    <xf numFmtId="165" fontId="9" fillId="0" borderId="0" xfId="1" applyNumberFormat="1" applyFont="1" applyAlignment="1">
      <alignment horizontal="right" wrapText="1"/>
    </xf>
    <xf numFmtId="165" fontId="9" fillId="0" borderId="0" xfId="1" applyNumberFormat="1" applyFont="1" applyFill="1" applyAlignment="1">
      <alignment wrapText="1"/>
    </xf>
    <xf numFmtId="0" fontId="8" fillId="0" borderId="0" xfId="2" applyFont="1" applyAlignment="1">
      <alignment wrapText="1"/>
    </xf>
    <xf numFmtId="0" fontId="9" fillId="0" borderId="0" xfId="2" applyFont="1" applyAlignment="1">
      <alignment horizontal="center" wrapText="1"/>
    </xf>
    <xf numFmtId="14" fontId="9" fillId="0" borderId="13" xfId="2" applyNumberFormat="1" applyFont="1" applyBorder="1" applyAlignment="1">
      <alignment horizontal="center" wrapText="1"/>
    </xf>
    <xf numFmtId="165" fontId="8" fillId="0" borderId="0" xfId="3" applyNumberFormat="1" applyFont="1" applyAlignment="1">
      <alignment horizontal="right" wrapText="1"/>
    </xf>
    <xf numFmtId="43" fontId="8" fillId="0" borderId="0" xfId="3" applyNumberFormat="1" applyFont="1" applyAlignment="1">
      <alignment horizontal="right" wrapText="1"/>
    </xf>
    <xf numFmtId="165" fontId="9" fillId="0" borderId="16" xfId="1" applyNumberFormat="1" applyFont="1" applyFill="1" applyBorder="1" applyAlignment="1">
      <alignment wrapText="1"/>
    </xf>
    <xf numFmtId="165" fontId="9" fillId="0" borderId="16" xfId="1" applyNumberFormat="1" applyFont="1" applyBorder="1" applyAlignment="1">
      <alignment horizontal="right" wrapText="1"/>
    </xf>
    <xf numFmtId="165" fontId="9" fillId="0" borderId="16" xfId="1" applyNumberFormat="1" applyFont="1" applyFill="1" applyBorder="1"/>
    <xf numFmtId="165" fontId="9" fillId="0" borderId="16" xfId="1" applyNumberFormat="1" applyFont="1" applyFill="1" applyBorder="1" applyAlignment="1">
      <alignment horizontal="right" wrapText="1"/>
    </xf>
    <xf numFmtId="165" fontId="8" fillId="0" borderId="16" xfId="3" applyNumberFormat="1" applyFont="1" applyBorder="1" applyAlignment="1">
      <alignment horizontal="right" wrapText="1"/>
    </xf>
    <xf numFmtId="165" fontId="2" fillId="0" borderId="16" xfId="0" applyNumberFormat="1" applyFont="1" applyBorder="1"/>
    <xf numFmtId="0" fontId="12" fillId="0" borderId="0" xfId="2" applyFont="1" applyAlignment="1">
      <alignment wrapText="1"/>
    </xf>
    <xf numFmtId="165" fontId="0" fillId="0" borderId="16" xfId="1" applyNumberFormat="1" applyFont="1" applyBorder="1"/>
    <xf numFmtId="43" fontId="8" fillId="0" borderId="0" xfId="3" applyNumberFormat="1" applyFont="1" applyBorder="1" applyAlignment="1">
      <alignment horizontal="right" wrapText="1"/>
    </xf>
    <xf numFmtId="0" fontId="13" fillId="0" borderId="0" xfId="0" applyFont="1"/>
    <xf numFmtId="0" fontId="14" fillId="0" borderId="0" xfId="0" applyFont="1"/>
    <xf numFmtId="165" fontId="2" fillId="0" borderId="0" xfId="1" applyNumberFormat="1" applyFont="1"/>
    <xf numFmtId="165" fontId="15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165" fontId="18" fillId="0" borderId="0" xfId="5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/>
    <xf numFmtId="165" fontId="18" fillId="0" borderId="13" xfId="5" applyNumberFormat="1" applyFont="1" applyBorder="1" applyAlignment="1">
      <alignment horizontal="right" vertical="center" wrapText="1"/>
    </xf>
    <xf numFmtId="165" fontId="18" fillId="0" borderId="0" xfId="5" applyNumberFormat="1" applyFont="1" applyBorder="1" applyAlignment="1">
      <alignment horizontal="right" vertical="center" wrapText="1"/>
    </xf>
    <xf numFmtId="165" fontId="18" fillId="0" borderId="16" xfId="0" applyNumberFormat="1" applyFont="1" applyBorder="1"/>
    <xf numFmtId="0" fontId="17" fillId="0" borderId="0" xfId="0" applyFont="1" applyAlignment="1">
      <alignment vertical="center" wrapText="1"/>
    </xf>
    <xf numFmtId="165" fontId="17" fillId="0" borderId="0" xfId="5" applyNumberFormat="1" applyFont="1" applyAlignment="1">
      <alignment horizontal="right" vertical="center" wrapText="1"/>
    </xf>
    <xf numFmtId="165" fontId="18" fillId="0" borderId="0" xfId="5" applyNumberFormat="1" applyFont="1"/>
    <xf numFmtId="165" fontId="18" fillId="0" borderId="16" xfId="5" applyNumberFormat="1" applyFont="1" applyBorder="1" applyAlignment="1">
      <alignment horizontal="right" vertical="center" wrapText="1"/>
    </xf>
    <xf numFmtId="165" fontId="17" fillId="0" borderId="0" xfId="5" applyNumberFormat="1" applyFont="1" applyAlignment="1">
      <alignment horizontal="right"/>
    </xf>
    <xf numFmtId="165" fontId="18" fillId="0" borderId="16" xfId="5" applyNumberFormat="1" applyFont="1" applyBorder="1" applyAlignment="1">
      <alignment horizontal="right"/>
    </xf>
    <xf numFmtId="165" fontId="18" fillId="0" borderId="0" xfId="5" applyNumberFormat="1" applyFont="1" applyBorder="1" applyAlignment="1">
      <alignment horizontal="right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165" fontId="18" fillId="0" borderId="0" xfId="5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16" xfId="0" applyNumberFormat="1" applyFont="1" applyBorder="1"/>
    <xf numFmtId="0" fontId="17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8" fontId="18" fillId="0" borderId="0" xfId="5" applyNumberFormat="1" applyFont="1" applyAlignment="1">
      <alignment horizontal="right"/>
    </xf>
    <xf numFmtId="168" fontId="18" fillId="0" borderId="0" xfId="5" applyNumberFormat="1" applyFont="1" applyAlignment="1">
      <alignment horizontal="right" vertical="center" wrapText="1"/>
    </xf>
    <xf numFmtId="168" fontId="17" fillId="0" borderId="0" xfId="5" applyNumberFormat="1" applyFont="1" applyAlignment="1">
      <alignment horizontal="right" vertical="center" wrapText="1"/>
    </xf>
    <xf numFmtId="168" fontId="18" fillId="0" borderId="0" xfId="5" applyNumberFormat="1" applyFont="1"/>
    <xf numFmtId="168" fontId="18" fillId="0" borderId="13" xfId="5" applyNumberFormat="1" applyFont="1" applyBorder="1" applyAlignment="1">
      <alignment horizontal="right" vertical="center" wrapText="1"/>
    </xf>
    <xf numFmtId="167" fontId="18" fillId="0" borderId="13" xfId="5" applyFont="1" applyBorder="1" applyAlignment="1">
      <alignment horizontal="right" vertical="center" wrapText="1"/>
    </xf>
    <xf numFmtId="167" fontId="18" fillId="0" borderId="0" xfId="5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168" fontId="17" fillId="0" borderId="13" xfId="5" applyNumberFormat="1" applyFont="1" applyBorder="1" applyAlignment="1">
      <alignment horizontal="right" vertical="center" wrapText="1"/>
    </xf>
    <xf numFmtId="3" fontId="17" fillId="0" borderId="1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 indent="2"/>
    </xf>
    <xf numFmtId="3" fontId="18" fillId="0" borderId="0" xfId="0" applyNumberFormat="1" applyFont="1"/>
    <xf numFmtId="168" fontId="18" fillId="0" borderId="0" xfId="0" applyNumberFormat="1" applyFont="1"/>
    <xf numFmtId="3" fontId="18" fillId="0" borderId="16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 indent="3"/>
    </xf>
    <xf numFmtId="168" fontId="17" fillId="0" borderId="0" xfId="5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167" fontId="20" fillId="0" borderId="0" xfId="5" applyFont="1"/>
    <xf numFmtId="0" fontId="18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right"/>
    </xf>
    <xf numFmtId="168" fontId="18" fillId="0" borderId="0" xfId="5" applyNumberFormat="1" applyFont="1" applyBorder="1" applyAlignment="1">
      <alignment horizontal="right" vertical="center" wrapText="1"/>
    </xf>
    <xf numFmtId="168" fontId="18" fillId="0" borderId="0" xfId="5" applyNumberFormat="1" applyFont="1" applyFill="1" applyAlignment="1">
      <alignment horizontal="right"/>
    </xf>
    <xf numFmtId="0" fontId="17" fillId="0" borderId="0" xfId="0" applyFont="1" applyAlignment="1">
      <alignment horizontal="right" vertical="center" wrapText="1" indent="2"/>
    </xf>
    <xf numFmtId="43" fontId="18" fillId="0" borderId="0" xfId="0" applyNumberFormat="1" applyFont="1" applyAlignment="1">
      <alignment horizontal="right"/>
    </xf>
    <xf numFmtId="168" fontId="17" fillId="0" borderId="0" xfId="5" applyNumberFormat="1" applyFont="1" applyFill="1" applyAlignment="1">
      <alignment horizontal="right"/>
    </xf>
    <xf numFmtId="9" fontId="18" fillId="0" borderId="0" xfId="4" quotePrefix="1" applyFont="1" applyAlignment="1">
      <alignment horizontal="right"/>
    </xf>
    <xf numFmtId="3" fontId="18" fillId="0" borderId="0" xfId="0" applyNumberFormat="1" applyFont="1" applyAlignment="1">
      <alignment horizontal="right"/>
    </xf>
    <xf numFmtId="9" fontId="18" fillId="0" borderId="0" xfId="0" applyNumberFormat="1" applyFont="1" applyAlignment="1">
      <alignment horizontal="right"/>
    </xf>
    <xf numFmtId="9" fontId="18" fillId="0" borderId="0" xfId="0" quotePrefix="1" applyNumberFormat="1" applyFont="1" applyAlignment="1">
      <alignment horizontal="right"/>
    </xf>
    <xf numFmtId="168" fontId="18" fillId="0" borderId="0" xfId="0" applyNumberFormat="1" applyFont="1" applyAlignment="1">
      <alignment horizontal="right"/>
    </xf>
    <xf numFmtId="165" fontId="17" fillId="0" borderId="0" xfId="5" applyNumberFormat="1" applyFont="1"/>
    <xf numFmtId="9" fontId="18" fillId="0" borderId="0" xfId="0" applyNumberFormat="1" applyFont="1"/>
    <xf numFmtId="165" fontId="18" fillId="0" borderId="16" xfId="5" applyNumberFormat="1" applyFont="1" applyBorder="1"/>
    <xf numFmtId="168" fontId="17" fillId="0" borderId="16" xfId="5" applyNumberFormat="1" applyFont="1" applyBorder="1"/>
    <xf numFmtId="165" fontId="17" fillId="0" borderId="17" xfId="0" applyNumberFormat="1" applyFont="1" applyBorder="1" applyAlignment="1">
      <alignment horizontal="right"/>
    </xf>
    <xf numFmtId="168" fontId="17" fillId="0" borderId="0" xfId="5" applyNumberFormat="1" applyFont="1"/>
    <xf numFmtId="0" fontId="18" fillId="0" borderId="0" xfId="0" applyFont="1" applyAlignment="1">
      <alignment wrapText="1"/>
    </xf>
    <xf numFmtId="167" fontId="18" fillId="0" borderId="0" xfId="5" applyFont="1" applyAlignment="1">
      <alignment horizontal="right" vertical="center"/>
    </xf>
    <xf numFmtId="169" fontId="18" fillId="0" borderId="0" xfId="0" applyNumberFormat="1" applyFont="1"/>
    <xf numFmtId="165" fontId="18" fillId="0" borderId="17" xfId="5" applyNumberFormat="1" applyFont="1" applyBorder="1" applyAlignment="1">
      <alignment horizontal="right"/>
    </xf>
    <xf numFmtId="3" fontId="17" fillId="0" borderId="0" xfId="0" applyNumberFormat="1" applyFont="1"/>
    <xf numFmtId="165" fontId="18" fillId="0" borderId="1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168" fontId="0" fillId="0" borderId="0" xfId="5" applyNumberFormat="1" applyFont="1"/>
    <xf numFmtId="168" fontId="0" fillId="0" borderId="0" xfId="0" applyNumberFormat="1"/>
    <xf numFmtId="168" fontId="2" fillId="0" borderId="0" xfId="0" applyNumberFormat="1" applyFont="1"/>
    <xf numFmtId="0" fontId="0" fillId="0" borderId="0" xfId="0" applyAlignment="1">
      <alignment horizontal="left" wrapText="1"/>
    </xf>
    <xf numFmtId="168" fontId="0" fillId="0" borderId="0" xfId="5" applyNumberFormat="1" applyFont="1" applyBorder="1"/>
    <xf numFmtId="168" fontId="0" fillId="0" borderId="0" xfId="0" applyNumberFormat="1" applyAlignment="1">
      <alignment wrapText="1"/>
    </xf>
    <xf numFmtId="168" fontId="0" fillId="0" borderId="19" xfId="5" applyNumberFormat="1" applyFont="1" applyBorder="1"/>
    <xf numFmtId="168" fontId="16" fillId="0" borderId="0" xfId="0" applyNumberFormat="1" applyFont="1"/>
    <xf numFmtId="167" fontId="0" fillId="0" borderId="0" xfId="5" applyFont="1"/>
    <xf numFmtId="168" fontId="2" fillId="0" borderId="0" xfId="5" applyNumberFormat="1" applyFont="1"/>
    <xf numFmtId="168" fontId="16" fillId="0" borderId="0" xfId="5" applyNumberFormat="1" applyFont="1"/>
    <xf numFmtId="9" fontId="0" fillId="0" borderId="0" xfId="0" applyNumberFormat="1" applyAlignment="1">
      <alignment horizontal="center" vertical="top" wrapText="1"/>
    </xf>
    <xf numFmtId="170" fontId="0" fillId="0" borderId="0" xfId="5" applyNumberFormat="1" applyFont="1"/>
    <xf numFmtId="1" fontId="0" fillId="0" borderId="0" xfId="0" applyNumberFormat="1"/>
    <xf numFmtId="167" fontId="2" fillId="0" borderId="0" xfId="0" applyNumberFormat="1" applyFont="1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vertical="center" wrapText="1"/>
    </xf>
    <xf numFmtId="14" fontId="0" fillId="0" borderId="0" xfId="0" applyNumberFormat="1" applyAlignment="1">
      <alignment horizontal="right"/>
    </xf>
    <xf numFmtId="0" fontId="23" fillId="0" borderId="0" xfId="0" applyFont="1" applyAlignment="1">
      <alignment horizontal="left" vertical="center"/>
    </xf>
    <xf numFmtId="0" fontId="24" fillId="0" borderId="0" xfId="0" applyFont="1"/>
    <xf numFmtId="165" fontId="0" fillId="0" borderId="0" xfId="5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wrapText="1" indent="2"/>
    </xf>
    <xf numFmtId="0" fontId="24" fillId="0" borderId="0" xfId="0" applyFont="1" applyAlignment="1">
      <alignment wrapText="1"/>
    </xf>
    <xf numFmtId="165" fontId="2" fillId="0" borderId="0" xfId="5" applyNumberFormat="1" applyFont="1"/>
    <xf numFmtId="0" fontId="25" fillId="0" borderId="0" xfId="0" applyFont="1" applyAlignment="1">
      <alignment horizontal="left" vertical="center" wrapText="1" indent="2"/>
    </xf>
    <xf numFmtId="3" fontId="0" fillId="0" borderId="0" xfId="0" applyNumberFormat="1"/>
    <xf numFmtId="0" fontId="3" fillId="0" borderId="0" xfId="0" applyFont="1" applyAlignment="1">
      <alignment vertical="center"/>
    </xf>
    <xf numFmtId="165" fontId="0" fillId="0" borderId="0" xfId="5" applyNumberFormat="1" applyFont="1" applyFill="1"/>
    <xf numFmtId="43" fontId="16" fillId="0" borderId="0" xfId="1" applyFont="1"/>
    <xf numFmtId="3" fontId="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6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 indent="1"/>
    </xf>
    <xf numFmtId="43" fontId="26" fillId="0" borderId="0" xfId="1" applyFont="1" applyAlignment="1">
      <alignment horizontal="right" vertical="center" wrapText="1"/>
    </xf>
    <xf numFmtId="165" fontId="26" fillId="0" borderId="0" xfId="1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43" fontId="29" fillId="0" borderId="0" xfId="1" applyFont="1" applyAlignment="1">
      <alignment horizontal="right" vertical="center" wrapText="1"/>
    </xf>
    <xf numFmtId="165" fontId="29" fillId="0" borderId="0" xfId="1" applyNumberFormat="1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3" fontId="34" fillId="0" borderId="13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 indent="2"/>
    </xf>
    <xf numFmtId="3" fontId="34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horizontal="left" vertical="center" wrapText="1" indent="2"/>
    </xf>
    <xf numFmtId="3" fontId="37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left" vertical="center" wrapText="1" indent="2"/>
    </xf>
    <xf numFmtId="0" fontId="0" fillId="0" borderId="13" xfId="0" applyBorder="1" applyAlignment="1">
      <alignment vertical="center" wrapText="1"/>
    </xf>
    <xf numFmtId="165" fontId="34" fillId="0" borderId="0" xfId="1" applyNumberFormat="1" applyFont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165" fontId="16" fillId="0" borderId="0" xfId="1" applyNumberFormat="1" applyFont="1"/>
    <xf numFmtId="0" fontId="38" fillId="0" borderId="0" xfId="0" applyFont="1" applyAlignment="1">
      <alignment horizontal="justify" vertical="center"/>
    </xf>
    <xf numFmtId="0" fontId="34" fillId="0" borderId="16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5" fontId="0" fillId="0" borderId="18" xfId="1" applyNumberFormat="1" applyFont="1" applyBorder="1"/>
    <xf numFmtId="165" fontId="0" fillId="0" borderId="18" xfId="0" applyNumberFormat="1" applyBorder="1"/>
    <xf numFmtId="165" fontId="0" fillId="0" borderId="0" xfId="1" applyNumberFormat="1" applyFont="1" applyBorder="1"/>
    <xf numFmtId="165" fontId="0" fillId="0" borderId="16" xfId="0" applyNumberFormat="1" applyBorder="1"/>
    <xf numFmtId="0" fontId="17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9" fontId="0" fillId="0" borderId="0" xfId="4" applyFont="1"/>
    <xf numFmtId="171" fontId="0" fillId="0" borderId="0" xfId="4" applyNumberFormat="1" applyFont="1"/>
    <xf numFmtId="171" fontId="0" fillId="0" borderId="0" xfId="0" applyNumberFormat="1"/>
    <xf numFmtId="10" fontId="0" fillId="0" borderId="0" xfId="4" applyNumberFormat="1" applyFont="1"/>
    <xf numFmtId="2" fontId="0" fillId="0" borderId="0" xfId="0" applyNumberFormat="1"/>
    <xf numFmtId="0" fontId="0" fillId="0" borderId="0" xfId="4" applyNumberFormat="1" applyFont="1"/>
    <xf numFmtId="171" fontId="0" fillId="0" borderId="0" xfId="4" applyNumberFormat="1" applyFont="1" applyFill="1"/>
    <xf numFmtId="9" fontId="0" fillId="0" borderId="0" xfId="4" applyFont="1" applyFill="1"/>
    <xf numFmtId="1" fontId="0" fillId="0" borderId="0" xfId="4" applyNumberFormat="1" applyFont="1"/>
    <xf numFmtId="171" fontId="2" fillId="0" borderId="0" xfId="4" applyNumberFormat="1" applyFont="1"/>
    <xf numFmtId="168" fontId="0" fillId="0" borderId="0" xfId="5" applyNumberFormat="1" applyFont="1" applyFill="1"/>
    <xf numFmtId="168" fontId="39" fillId="0" borderId="0" xfId="5" applyNumberFormat="1" applyFont="1"/>
    <xf numFmtId="165" fontId="2" fillId="0" borderId="0" xfId="1" applyNumberFormat="1" applyFont="1" applyFill="1"/>
    <xf numFmtId="0" fontId="0" fillId="0" borderId="0" xfId="0" applyAlignment="1">
      <alignment vertical="top"/>
    </xf>
    <xf numFmtId="9" fontId="0" fillId="0" borderId="0" xfId="0" applyNumberFormat="1" applyAlignment="1">
      <alignment vertical="center"/>
    </xf>
    <xf numFmtId="168" fontId="40" fillId="0" borderId="0" xfId="0" applyNumberFormat="1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vertical="center"/>
    </xf>
    <xf numFmtId="168" fontId="0" fillId="0" borderId="0" xfId="4" applyNumberFormat="1" applyFont="1"/>
    <xf numFmtId="0" fontId="0" fillId="0" borderId="0" xfId="0" applyAlignment="1">
      <alignment horizontal="left"/>
    </xf>
    <xf numFmtId="0" fontId="16" fillId="0" borderId="0" xfId="0" applyFont="1"/>
    <xf numFmtId="3" fontId="16" fillId="0" borderId="0" xfId="0" applyNumberFormat="1" applyFont="1"/>
    <xf numFmtId="165" fontId="16" fillId="0" borderId="0" xfId="0" applyNumberFormat="1" applyFont="1"/>
    <xf numFmtId="165" fontId="19" fillId="0" borderId="0" xfId="0" applyNumberFormat="1" applyFont="1"/>
    <xf numFmtId="171" fontId="16" fillId="0" borderId="0" xfId="4" applyNumberFormat="1" applyFont="1" applyFill="1"/>
    <xf numFmtId="0" fontId="39" fillId="0" borderId="0" xfId="0" applyFont="1"/>
    <xf numFmtId="168" fontId="0" fillId="0" borderId="0" xfId="0" applyNumberFormat="1" applyAlignment="1">
      <alignment horizontal="center"/>
    </xf>
    <xf numFmtId="0" fontId="28" fillId="0" borderId="0" xfId="0" applyFont="1" applyAlignment="1">
      <alignment vertical="center"/>
    </xf>
    <xf numFmtId="165" fontId="2" fillId="0" borderId="0" xfId="1" applyNumberFormat="1" applyFont="1" applyBorder="1"/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/>
    <xf numFmtId="165" fontId="0" fillId="0" borderId="0" xfId="1" applyNumberFormat="1" applyFont="1" applyFill="1" applyAlignment="1">
      <alignment horizontal="right"/>
    </xf>
    <xf numFmtId="168" fontId="0" fillId="0" borderId="18" xfId="5" applyNumberFormat="1" applyFont="1" applyFill="1" applyBorder="1"/>
    <xf numFmtId="43" fontId="26" fillId="0" borderId="0" xfId="1" applyFont="1" applyFill="1" applyAlignment="1">
      <alignment horizontal="right" vertical="center" wrapText="1"/>
    </xf>
    <xf numFmtId="0" fontId="0" fillId="2" borderId="0" xfId="0" applyFill="1"/>
    <xf numFmtId="165" fontId="2" fillId="0" borderId="14" xfId="1" applyNumberFormat="1" applyFont="1" applyBorder="1"/>
    <xf numFmtId="43" fontId="2" fillId="0" borderId="20" xfId="0" applyNumberFormat="1" applyFont="1" applyBorder="1"/>
    <xf numFmtId="165" fontId="1" fillId="0" borderId="1" xfId="1" applyNumberFormat="1" applyFont="1" applyBorder="1"/>
    <xf numFmtId="0" fontId="43" fillId="0" borderId="0" xfId="0" applyFont="1"/>
    <xf numFmtId="165" fontId="44" fillId="0" borderId="0" xfId="5" applyNumberFormat="1" applyFont="1"/>
    <xf numFmtId="0" fontId="45" fillId="0" borderId="0" xfId="0" applyFont="1" applyAlignment="1">
      <alignment horizontal="center" vertical="center" wrapText="1"/>
    </xf>
    <xf numFmtId="165" fontId="43" fillId="0" borderId="16" xfId="5" applyNumberFormat="1" applyFont="1" applyBorder="1"/>
    <xf numFmtId="165" fontId="43" fillId="0" borderId="0" xfId="0" applyNumberFormat="1" applyFont="1" applyAlignment="1">
      <alignment horizontal="center"/>
    </xf>
    <xf numFmtId="168" fontId="43" fillId="0" borderId="0" xfId="5" applyNumberFormat="1" applyFont="1" applyFill="1" applyAlignment="1">
      <alignment horizontal="center"/>
    </xf>
    <xf numFmtId="0" fontId="43" fillId="0" borderId="0" xfId="0" applyFont="1" applyAlignment="1">
      <alignment horizontal="left" vertical="center" wrapText="1" indent="2"/>
    </xf>
    <xf numFmtId="168" fontId="43" fillId="0" borderId="0" xfId="5" applyNumberFormat="1" applyFont="1" applyAlignment="1">
      <alignment horizontal="right"/>
    </xf>
    <xf numFmtId="168" fontId="43" fillId="0" borderId="0" xfId="5" applyNumberFormat="1" applyFont="1" applyBorder="1" applyAlignment="1">
      <alignment horizontal="right" vertical="center" wrapText="1"/>
    </xf>
    <xf numFmtId="165" fontId="43" fillId="0" borderId="0" xfId="0" applyNumberFormat="1" applyFont="1"/>
    <xf numFmtId="0" fontId="44" fillId="0" borderId="0" xfId="0" applyFont="1" applyAlignment="1">
      <alignment horizontal="center" vertical="center" wrapText="1"/>
    </xf>
    <xf numFmtId="168" fontId="42" fillId="0" borderId="0" xfId="5" applyNumberFormat="1" applyFont="1" applyFill="1"/>
    <xf numFmtId="9" fontId="42" fillId="0" borderId="0" xfId="0" applyNumberFormat="1" applyFont="1"/>
    <xf numFmtId="165" fontId="42" fillId="0" borderId="0" xfId="1" applyNumberFormat="1" applyFont="1" applyFill="1"/>
    <xf numFmtId="168" fontId="42" fillId="0" borderId="0" xfId="5" applyNumberFormat="1" applyFont="1"/>
    <xf numFmtId="172" fontId="0" fillId="0" borderId="0" xfId="5" applyNumberFormat="1" applyFont="1"/>
    <xf numFmtId="165" fontId="46" fillId="0" borderId="17" xfId="5" applyNumberFormat="1" applyFont="1" applyBorder="1" applyAlignment="1">
      <alignment horizontal="right" vertical="center" wrapText="1"/>
    </xf>
    <xf numFmtId="165" fontId="46" fillId="0" borderId="0" xfId="5" applyNumberFormat="1" applyFont="1" applyAlignment="1">
      <alignment horizontal="right" vertical="center" wrapText="1"/>
    </xf>
    <xf numFmtId="3" fontId="42" fillId="0" borderId="0" xfId="0" applyNumberFormat="1" applyFont="1"/>
    <xf numFmtId="165" fontId="47" fillId="0" borderId="0" xfId="1" applyNumberFormat="1" applyFont="1" applyFill="1"/>
    <xf numFmtId="165" fontId="16" fillId="0" borderId="0" xfId="0" applyNumberFormat="1" applyFont="1" applyFill="1"/>
    <xf numFmtId="165" fontId="42" fillId="0" borderId="0" xfId="5" applyNumberFormat="1" applyFont="1"/>
    <xf numFmtId="165" fontId="48" fillId="0" borderId="0" xfId="1" applyNumberFormat="1" applyFont="1" applyFill="1" applyAlignment="1">
      <alignment horizontal="right" vertical="center" wrapText="1"/>
    </xf>
    <xf numFmtId="3" fontId="48" fillId="0" borderId="0" xfId="0" applyNumberFormat="1" applyFont="1" applyAlignment="1">
      <alignment horizontal="right" vertical="center" wrapText="1"/>
    </xf>
    <xf numFmtId="165" fontId="42" fillId="0" borderId="0" xfId="0" applyNumberFormat="1" applyFont="1"/>
    <xf numFmtId="0" fontId="49" fillId="0" borderId="0" xfId="0" applyFont="1"/>
    <xf numFmtId="49" fontId="0" fillId="0" borderId="0" xfId="0" applyNumberFormat="1"/>
    <xf numFmtId="49" fontId="49" fillId="0" borderId="0" xfId="0" applyNumberFormat="1" applyFont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 applyAlignment="1">
      <alignment horizontal="center" vertical="top"/>
    </xf>
    <xf numFmtId="49" fontId="49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40" fillId="0" borderId="0" xfId="0" applyFont="1"/>
    <xf numFmtId="165" fontId="40" fillId="0" borderId="0" xfId="1" applyNumberFormat="1" applyFont="1"/>
    <xf numFmtId="49" fontId="49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0" fontId="8" fillId="0" borderId="0" xfId="2" applyFont="1" applyFill="1" applyAlignment="1">
      <alignment wrapText="1"/>
    </xf>
    <xf numFmtId="0" fontId="9" fillId="0" borderId="0" xfId="2" applyFont="1" applyFill="1" applyAlignment="1">
      <alignment wrapText="1"/>
    </xf>
    <xf numFmtId="0" fontId="11" fillId="0" borderId="0" xfId="2" applyFont="1" applyFill="1" applyAlignment="1">
      <alignment wrapText="1"/>
    </xf>
    <xf numFmtId="14" fontId="9" fillId="0" borderId="13" xfId="2" applyNumberFormat="1" applyFont="1" applyFill="1" applyBorder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165" fontId="8" fillId="0" borderId="0" xfId="3" applyNumberFormat="1" applyFont="1" applyFill="1" applyAlignment="1">
      <alignment horizontal="right" wrapText="1"/>
    </xf>
    <xf numFmtId="0" fontId="8" fillId="0" borderId="0" xfId="2" applyFont="1" applyFill="1"/>
    <xf numFmtId="43" fontId="8" fillId="0" borderId="0" xfId="3" applyNumberFormat="1" applyFont="1" applyFill="1" applyAlignment="1">
      <alignment horizontal="right" wrapText="1"/>
    </xf>
    <xf numFmtId="165" fontId="8" fillId="0" borderId="16" xfId="3" applyNumberFormat="1" applyFont="1" applyFill="1" applyBorder="1" applyAlignment="1">
      <alignment horizontal="right" wrapText="1"/>
    </xf>
    <xf numFmtId="43" fontId="8" fillId="0" borderId="0" xfId="3" applyNumberFormat="1" applyFont="1" applyFill="1" applyBorder="1" applyAlignment="1">
      <alignment horizontal="right" wrapText="1"/>
    </xf>
    <xf numFmtId="0" fontId="12" fillId="0" borderId="0" xfId="2" applyFont="1" applyFill="1" applyAlignment="1">
      <alignment wrapText="1"/>
    </xf>
    <xf numFmtId="165" fontId="2" fillId="0" borderId="16" xfId="0" applyNumberFormat="1" applyFont="1" applyFill="1" applyBorder="1"/>
    <xf numFmtId="0" fontId="2" fillId="0" borderId="0" xfId="0" applyFont="1" applyFill="1"/>
    <xf numFmtId="0" fontId="18" fillId="0" borderId="0" xfId="0" applyFont="1" applyFill="1"/>
    <xf numFmtId="0" fontId="18" fillId="0" borderId="21" xfId="0" applyFont="1" applyFill="1" applyBorder="1"/>
    <xf numFmtId="0" fontId="18" fillId="0" borderId="18" xfId="0" applyFont="1" applyFill="1" applyBorder="1"/>
    <xf numFmtId="0" fontId="18" fillId="0" borderId="22" xfId="0" applyFont="1" applyFill="1" applyBorder="1"/>
    <xf numFmtId="0" fontId="18" fillId="0" borderId="23" xfId="0" applyFont="1" applyFill="1" applyBorder="1"/>
    <xf numFmtId="0" fontId="18" fillId="0" borderId="0" xfId="0" applyFont="1" applyFill="1" applyBorder="1"/>
    <xf numFmtId="0" fontId="18" fillId="0" borderId="24" xfId="0" applyFont="1" applyFill="1" applyBorder="1"/>
    <xf numFmtId="0" fontId="18" fillId="0" borderId="25" xfId="0" applyFont="1" applyFill="1" applyBorder="1" applyAlignment="1">
      <alignment horizontal="left" vertical="top" wrapText="1"/>
    </xf>
    <xf numFmtId="0" fontId="18" fillId="0" borderId="1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7" fillId="0" borderId="17" xfId="0" applyFont="1" applyFill="1" applyBorder="1"/>
    <xf numFmtId="0" fontId="17" fillId="0" borderId="28" xfId="0" applyFont="1" applyFill="1" applyBorder="1"/>
    <xf numFmtId="0" fontId="50" fillId="0" borderId="0" xfId="0" applyFont="1" applyFill="1"/>
    <xf numFmtId="0" fontId="50" fillId="0" borderId="0" xfId="0" applyFont="1" applyFill="1" applyAlignment="1">
      <alignment horizontal="center"/>
    </xf>
    <xf numFmtId="49" fontId="14" fillId="0" borderId="0" xfId="0" applyNumberFormat="1" applyFont="1"/>
    <xf numFmtId="0" fontId="15" fillId="0" borderId="0" xfId="0" applyFont="1" applyAlignment="1">
      <alignment horizontal="center" vertical="center"/>
    </xf>
    <xf numFmtId="14" fontId="9" fillId="0" borderId="13" xfId="2" applyNumberFormat="1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0" fontId="17" fillId="0" borderId="0" xfId="0" applyFont="1" applyAlignment="1">
      <alignment horizontal="center"/>
    </xf>
  </cellXfs>
  <cellStyles count="6">
    <cellStyle name="Comma" xfId="1" builtinId="3"/>
    <cellStyle name="Comma 2" xfId="5" xr:uid="{00000000-0005-0000-0000-000001000000}"/>
    <cellStyle name="Comma 4" xfId="3" xr:uid="{00000000-0005-0000-0000-000002000000}"/>
    <cellStyle name="Normal" xfId="0" builtinId="0"/>
    <cellStyle name="Normal 2 2" xfId="2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8.4\AnAudit\AU\Audit\2024\Derjava\Execution\DJ_DT+P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ach summary"/>
      <sheetName val="EGA"/>
      <sheetName val="BD_DT-2024"/>
      <sheetName val="Dif. Tax-2024"/>
      <sheetName val="Support&gt;&gt;"/>
      <sheetName val="TB_CY"/>
      <sheetName val="TB_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C1" workbookViewId="0">
      <selection activeCell="E1" sqref="E1"/>
    </sheetView>
  </sheetViews>
  <sheetFormatPr defaultRowHeight="14.25"/>
  <cols>
    <col min="1" max="1" width="9" style="290"/>
    <col min="2" max="2" width="11.5" customWidth="1"/>
    <col min="3" max="3" width="33.5" customWidth="1"/>
    <col min="4" max="4" width="72.125" bestFit="1" customWidth="1"/>
    <col min="5" max="5" width="34.625" customWidth="1"/>
    <col min="6" max="6" width="17.625" customWidth="1"/>
    <col min="7" max="7" width="20.5" customWidth="1"/>
    <col min="8" max="8" width="9.25" bestFit="1" customWidth="1"/>
    <col min="9" max="9" width="10.375" bestFit="1" customWidth="1"/>
  </cols>
  <sheetData>
    <row r="1" spans="1:7" ht="16.5">
      <c r="A1" s="293" t="s">
        <v>487</v>
      </c>
      <c r="B1" s="4"/>
      <c r="C1" s="65" t="s">
        <v>448</v>
      </c>
      <c r="E1" t="s">
        <v>503</v>
      </c>
    </row>
    <row r="2" spans="1:7" ht="15">
      <c r="B2" s="4" t="s">
        <v>0</v>
      </c>
      <c r="D2" s="243" t="s">
        <v>444</v>
      </c>
      <c r="E2" s="296"/>
    </row>
    <row r="3" spans="1:7" ht="30">
      <c r="B3" s="5" t="s">
        <v>4</v>
      </c>
      <c r="C3" s="5" t="s">
        <v>2</v>
      </c>
      <c r="D3" s="5"/>
      <c r="E3" s="5" t="s">
        <v>1</v>
      </c>
      <c r="F3" s="5" t="s">
        <v>3</v>
      </c>
    </row>
    <row r="4" spans="1:7">
      <c r="B4" s="1">
        <v>45658</v>
      </c>
      <c r="C4" s="3">
        <v>16000000</v>
      </c>
      <c r="D4">
        <f>D12/$E$16</f>
        <v>1.1682242990654208</v>
      </c>
      <c r="E4" s="2">
        <f>3/12</f>
        <v>0.25</v>
      </c>
      <c r="F4" s="3">
        <f>C4*D4*E4</f>
        <v>4672897.1962616835</v>
      </c>
    </row>
    <row r="5" spans="1:7">
      <c r="B5" s="1">
        <v>45661</v>
      </c>
      <c r="C5" s="3">
        <f>C4+8000000</f>
        <v>24000000</v>
      </c>
      <c r="D5">
        <f>D12/$E$16</f>
        <v>1.1682242990654208</v>
      </c>
      <c r="E5" s="2">
        <f>3/12</f>
        <v>0.25</v>
      </c>
      <c r="F5" s="3">
        <f>C5*D5*E5</f>
        <v>7009345.7943925252</v>
      </c>
    </row>
    <row r="6" spans="1:7">
      <c r="B6" s="1">
        <v>45664</v>
      </c>
      <c r="C6" s="3">
        <f>C5+(C5/C12*C13)</f>
        <v>40000000</v>
      </c>
      <c r="D6">
        <v>1</v>
      </c>
      <c r="E6" s="2">
        <f>6/12</f>
        <v>0.5</v>
      </c>
      <c r="F6" s="3">
        <f>C6*D6*E6</f>
        <v>20000000</v>
      </c>
    </row>
    <row r="7" spans="1:7">
      <c r="E7" t="s">
        <v>443</v>
      </c>
      <c r="F7" s="218">
        <f>SUM(F4:F6)</f>
        <v>31682242.990654208</v>
      </c>
      <c r="G7" s="3"/>
    </row>
    <row r="8" spans="1:7">
      <c r="E8" s="239" t="s">
        <v>439</v>
      </c>
      <c r="F8" s="218">
        <v>12845000</v>
      </c>
    </row>
    <row r="9" spans="1:7" ht="15.75" thickBot="1">
      <c r="E9" s="240" t="s">
        <v>440</v>
      </c>
      <c r="F9" s="262">
        <f>F8/F7</f>
        <v>0.40543215339233035</v>
      </c>
    </row>
    <row r="10" spans="1:7" ht="15" thickTop="1">
      <c r="E10" s="239"/>
      <c r="F10" s="8"/>
    </row>
    <row r="11" spans="1:7" ht="15">
      <c r="B11" s="4" t="s">
        <v>5</v>
      </c>
    </row>
    <row r="12" spans="1:7">
      <c r="C12">
        <v>3</v>
      </c>
      <c r="D12">
        <v>2.5</v>
      </c>
      <c r="E12">
        <f>C12*D12</f>
        <v>7.5</v>
      </c>
    </row>
    <row r="13" spans="1:7">
      <c r="C13">
        <v>2</v>
      </c>
      <c r="D13">
        <v>1.6</v>
      </c>
      <c r="E13">
        <f>C13*D13</f>
        <v>3.2</v>
      </c>
    </row>
    <row r="14" spans="1:7">
      <c r="C14">
        <f>SUM(C12:C13)</f>
        <v>5</v>
      </c>
      <c r="E14">
        <f>SUM(E12:E13)</f>
        <v>10.7</v>
      </c>
    </row>
    <row r="16" spans="1:7">
      <c r="E16">
        <f>E14/C14</f>
        <v>2.1399999999999997</v>
      </c>
    </row>
    <row r="18" spans="1:6" ht="15">
      <c r="A18" s="292" t="s">
        <v>489</v>
      </c>
      <c r="B18" s="4" t="s">
        <v>488</v>
      </c>
      <c r="D18" s="243" t="s">
        <v>444</v>
      </c>
      <c r="E18" s="296"/>
    </row>
    <row r="19" spans="1:6" ht="15">
      <c r="B19" s="4" t="s">
        <v>486</v>
      </c>
      <c r="D19" s="243"/>
    </row>
    <row r="20" spans="1:6">
      <c r="C20" t="s">
        <v>47</v>
      </c>
      <c r="D20" s="3">
        <v>25000</v>
      </c>
    </row>
    <row r="21" spans="1:6" ht="15">
      <c r="C21" s="9" t="s">
        <v>46</v>
      </c>
      <c r="D21" s="3">
        <v>12500</v>
      </c>
    </row>
    <row r="22" spans="1:6">
      <c r="C22" t="s">
        <v>48</v>
      </c>
      <c r="D22" s="3">
        <f>D20-D21</f>
        <v>12500</v>
      </c>
    </row>
    <row r="23" spans="1:6" ht="42.75">
      <c r="C23" s="11" t="s">
        <v>49</v>
      </c>
      <c r="D23" s="36">
        <f>18000/D20</f>
        <v>0.72</v>
      </c>
    </row>
    <row r="24" spans="1:6" ht="42.75">
      <c r="C24" s="166" t="s">
        <v>50</v>
      </c>
      <c r="D24" s="3">
        <f>D22*D23</f>
        <v>9000</v>
      </c>
    </row>
    <row r="25" spans="1:6" ht="28.5">
      <c r="C25" s="11" t="s">
        <v>51</v>
      </c>
      <c r="D25" s="66">
        <f>D22-D24</f>
        <v>3500</v>
      </c>
      <c r="E25" s="289" t="s">
        <v>486</v>
      </c>
    </row>
    <row r="26" spans="1:6">
      <c r="D26" s="8"/>
    </row>
    <row r="29" spans="1:6" ht="15">
      <c r="A29" s="294" t="s">
        <v>490</v>
      </c>
      <c r="B29" s="4" t="s">
        <v>495</v>
      </c>
      <c r="D29" s="243" t="s">
        <v>444</v>
      </c>
      <c r="E29" s="296"/>
    </row>
    <row r="30" spans="1:6">
      <c r="D30" s="145"/>
      <c r="E30" s="145"/>
    </row>
    <row r="31" spans="1:6">
      <c r="D31" s="145" t="s">
        <v>6</v>
      </c>
      <c r="E31" s="145" t="s">
        <v>7</v>
      </c>
    </row>
    <row r="32" spans="1:6" ht="15">
      <c r="C32" s="9" t="s">
        <v>8</v>
      </c>
      <c r="D32" s="3">
        <v>150000</v>
      </c>
      <c r="E32" s="3">
        <v>185000</v>
      </c>
      <c r="F32" s="6">
        <v>0.05</v>
      </c>
    </row>
    <row r="33" spans="1:7">
      <c r="C33" t="s">
        <v>10</v>
      </c>
      <c r="D33" s="3">
        <f>D32*F32</f>
        <v>7500</v>
      </c>
      <c r="E33" s="3">
        <f>E32*F32</f>
        <v>9250</v>
      </c>
    </row>
    <row r="34" spans="1:7" ht="15">
      <c r="C34" s="9" t="s">
        <v>9</v>
      </c>
      <c r="D34" s="3">
        <v>75</v>
      </c>
      <c r="E34" s="3">
        <v>80</v>
      </c>
      <c r="F34" s="7"/>
    </row>
    <row r="35" spans="1:7">
      <c r="D35" s="3">
        <f>D33*D34</f>
        <v>562500</v>
      </c>
      <c r="E35" s="3">
        <f>E33*E34</f>
        <v>740000</v>
      </c>
    </row>
    <row r="36" spans="1:7" ht="16.5">
      <c r="C36" s="330" t="s">
        <v>81</v>
      </c>
      <c r="D36" s="330"/>
      <c r="E36" s="66">
        <f>E35-D35</f>
        <v>177500</v>
      </c>
      <c r="F36" s="67" t="s">
        <v>80</v>
      </c>
      <c r="G36" s="64"/>
    </row>
    <row r="37" spans="1:7">
      <c r="D37" s="3"/>
      <c r="E37" s="3"/>
    </row>
    <row r="38" spans="1:7" ht="15">
      <c r="A38" s="294" t="s">
        <v>491</v>
      </c>
      <c r="B38" s="4" t="s">
        <v>493</v>
      </c>
      <c r="D38" s="243" t="s">
        <v>444</v>
      </c>
      <c r="E38" s="297"/>
    </row>
    <row r="39" spans="1:7">
      <c r="B39" t="s">
        <v>83</v>
      </c>
      <c r="D39" s="3"/>
      <c r="E39" s="3"/>
    </row>
    <row r="40" spans="1:7">
      <c r="D40" s="3"/>
      <c r="E40" s="3"/>
    </row>
    <row r="41" spans="1:7">
      <c r="B41" t="s">
        <v>22</v>
      </c>
      <c r="D41" s="3"/>
      <c r="E41" s="3"/>
    </row>
    <row r="42" spans="1:7">
      <c r="D42" s="3"/>
      <c r="E42" s="3"/>
    </row>
    <row r="43" spans="1:7">
      <c r="B43" t="s">
        <v>23</v>
      </c>
      <c r="D43" s="3"/>
      <c r="E43" s="3"/>
    </row>
    <row r="44" spans="1:7">
      <c r="B44" s="10"/>
      <c r="D44" s="3"/>
      <c r="E44" s="3"/>
    </row>
    <row r="45" spans="1:7">
      <c r="B45" s="10" t="s">
        <v>24</v>
      </c>
      <c r="D45" s="3"/>
      <c r="E45" s="3"/>
    </row>
    <row r="46" spans="1:7">
      <c r="B46" s="10"/>
      <c r="D46" s="3"/>
      <c r="E46" s="3"/>
    </row>
    <row r="47" spans="1:7">
      <c r="B47" s="10" t="s">
        <v>19</v>
      </c>
      <c r="D47" s="3"/>
      <c r="E47" s="3"/>
    </row>
    <row r="48" spans="1:7" ht="15">
      <c r="B48" s="4"/>
      <c r="D48" s="3"/>
      <c r="E48" s="3"/>
    </row>
    <row r="49" spans="2:7" ht="15">
      <c r="B49" s="4" t="s">
        <v>21</v>
      </c>
      <c r="D49" s="3"/>
      <c r="E49" s="3"/>
    </row>
    <row r="50" spans="2:7" ht="15">
      <c r="B50" s="4" t="s">
        <v>486</v>
      </c>
      <c r="D50" s="3"/>
      <c r="E50" s="3"/>
    </row>
    <row r="51" spans="2:7">
      <c r="D51" t="s">
        <v>11</v>
      </c>
      <c r="E51" s="3">
        <v>50000</v>
      </c>
    </row>
    <row r="52" spans="2:7">
      <c r="D52" t="s">
        <v>12</v>
      </c>
      <c r="E52" s="3">
        <f>E51/G52*5/12</f>
        <v>1041.6666666666667</v>
      </c>
      <c r="G52">
        <v>20</v>
      </c>
    </row>
    <row r="53" spans="2:7" ht="15">
      <c r="D53" t="s">
        <v>82</v>
      </c>
      <c r="E53" s="234">
        <f>E51-E52</f>
        <v>48958.333333333336</v>
      </c>
      <c r="F53" s="4" t="s">
        <v>486</v>
      </c>
    </row>
    <row r="54" spans="2:7">
      <c r="B54" t="s">
        <v>13</v>
      </c>
      <c r="E54" s="3"/>
    </row>
    <row r="55" spans="2:7">
      <c r="D55" t="s">
        <v>14</v>
      </c>
      <c r="E55" s="3">
        <v>150000</v>
      </c>
    </row>
    <row r="56" spans="2:7">
      <c r="D56" t="s">
        <v>15</v>
      </c>
      <c r="E56" s="3">
        <f>E55/G52*5/12</f>
        <v>3125</v>
      </c>
      <c r="F56" s="7"/>
    </row>
    <row r="57" spans="2:7" ht="15">
      <c r="D57" t="s">
        <v>463</v>
      </c>
      <c r="E57" s="3">
        <f>E55-E56</f>
        <v>146875</v>
      </c>
      <c r="G57" s="4"/>
    </row>
    <row r="58" spans="2:7" ht="15">
      <c r="B58" s="4" t="s">
        <v>20</v>
      </c>
      <c r="E58" s="3"/>
    </row>
    <row r="59" spans="2:7">
      <c r="D59" t="s">
        <v>18</v>
      </c>
      <c r="E59" s="3">
        <v>150000</v>
      </c>
    </row>
    <row r="60" spans="2:7">
      <c r="D60" t="s">
        <v>17</v>
      </c>
      <c r="E60" s="3">
        <v>50000</v>
      </c>
    </row>
    <row r="61" spans="2:7">
      <c r="D61" t="s">
        <v>16</v>
      </c>
      <c r="E61" s="3">
        <f>E59-E60</f>
        <v>100000</v>
      </c>
    </row>
    <row r="62" spans="2:7">
      <c r="D62" t="s">
        <v>15</v>
      </c>
      <c r="E62" s="3">
        <f>E61/G52*5/12</f>
        <v>2083.3333333333335</v>
      </c>
    </row>
    <row r="63" spans="2:7">
      <c r="D63" t="s">
        <v>463</v>
      </c>
      <c r="E63" s="3">
        <f>E61-E62</f>
        <v>97916.666666666672</v>
      </c>
    </row>
    <row r="64" spans="2:7">
      <c r="E64" s="3"/>
    </row>
    <row r="65" spans="1:10" ht="15">
      <c r="A65" s="294" t="s">
        <v>492</v>
      </c>
      <c r="B65" s="4" t="s">
        <v>494</v>
      </c>
      <c r="D65" s="243" t="s">
        <v>444</v>
      </c>
      <c r="E65" s="297"/>
    </row>
    <row r="66" spans="1:10">
      <c r="D66" s="12"/>
      <c r="E66" s="12">
        <v>1</v>
      </c>
      <c r="F66" s="12">
        <v>2</v>
      </c>
      <c r="G66" s="12">
        <v>3</v>
      </c>
      <c r="H66" s="12">
        <v>4</v>
      </c>
      <c r="I66" s="12">
        <v>5</v>
      </c>
    </row>
    <row r="67" spans="1:10">
      <c r="D67" s="12" t="s">
        <v>25</v>
      </c>
      <c r="E67" s="12">
        <v>0.91</v>
      </c>
      <c r="F67" s="12">
        <v>0.83</v>
      </c>
      <c r="G67" s="12">
        <v>0.75</v>
      </c>
      <c r="H67" s="12">
        <v>0.68</v>
      </c>
      <c r="I67" s="12">
        <v>0.62</v>
      </c>
    </row>
    <row r="68" spans="1:10">
      <c r="D68" s="12" t="s">
        <v>26</v>
      </c>
      <c r="E68" s="23">
        <f>$I$72*8%</f>
        <v>4000</v>
      </c>
      <c r="F68" s="23">
        <f t="shared" ref="F68:H68" si="0">$I$72*8%</f>
        <v>4000</v>
      </c>
      <c r="G68" s="23">
        <f t="shared" si="0"/>
        <v>4000</v>
      </c>
      <c r="H68" s="23">
        <f t="shared" si="0"/>
        <v>4000</v>
      </c>
      <c r="I68" s="23">
        <f>($I$72*8%)+I72</f>
        <v>54000</v>
      </c>
    </row>
    <row r="69" spans="1:10" ht="15" thickBot="1">
      <c r="D69" s="13" t="s">
        <v>27</v>
      </c>
      <c r="E69" s="24">
        <f>E67*E68</f>
        <v>3640</v>
      </c>
      <c r="F69" s="24">
        <f t="shared" ref="F69:I69" si="1">F67*F68</f>
        <v>3320</v>
      </c>
      <c r="G69" s="24">
        <f t="shared" si="1"/>
        <v>3000</v>
      </c>
      <c r="H69" s="24">
        <f t="shared" si="1"/>
        <v>2720</v>
      </c>
      <c r="I69" s="24">
        <f t="shared" si="1"/>
        <v>33480</v>
      </c>
    </row>
    <row r="70" spans="1:10" ht="15" thickBot="1">
      <c r="D70" s="14" t="s">
        <v>28</v>
      </c>
      <c r="E70" s="15"/>
      <c r="F70" s="15"/>
      <c r="G70" s="15"/>
      <c r="H70" s="15"/>
      <c r="I70" s="25">
        <f>SUM(E69:I69)</f>
        <v>46160</v>
      </c>
    </row>
    <row r="71" spans="1:10" ht="15" thickBot="1"/>
    <row r="72" spans="1:10">
      <c r="G72" s="16"/>
      <c r="H72" s="17"/>
      <c r="I72" s="18">
        <v>50000</v>
      </c>
    </row>
    <row r="73" spans="1:10" ht="30.75" customHeight="1">
      <c r="G73" s="19" t="s">
        <v>28</v>
      </c>
      <c r="I73" s="20">
        <f>I70</f>
        <v>46160</v>
      </c>
    </row>
    <row r="74" spans="1:10" ht="29.25" thickBot="1">
      <c r="G74" s="21" t="s">
        <v>29</v>
      </c>
      <c r="H74" s="22"/>
      <c r="I74" s="261">
        <f>I72-I73</f>
        <v>3840</v>
      </c>
      <c r="J74" s="289" t="s">
        <v>486</v>
      </c>
    </row>
  </sheetData>
  <mergeCells count="1">
    <mergeCell ref="C36:D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topLeftCell="A40" workbookViewId="0">
      <selection activeCell="B86" sqref="B86"/>
    </sheetView>
  </sheetViews>
  <sheetFormatPr defaultRowHeight="14.25"/>
  <cols>
    <col min="1" max="1" width="9" style="290"/>
    <col min="2" max="2" width="60.625" customWidth="1"/>
    <col min="3" max="3" width="23.5" customWidth="1"/>
    <col min="4" max="4" width="15.375" customWidth="1"/>
    <col min="5" max="5" width="19.25" customWidth="1"/>
    <col min="7" max="7" width="14" customWidth="1"/>
    <col min="8" max="8" width="12.75" bestFit="1" customWidth="1"/>
    <col min="9" max="9" width="14.875" customWidth="1"/>
    <col min="10" max="10" width="11.25" bestFit="1" customWidth="1"/>
    <col min="11" max="11" width="10.5" bestFit="1" customWidth="1"/>
  </cols>
  <sheetData>
    <row r="1" spans="1:11" ht="15">
      <c r="A1" s="291" t="s">
        <v>496</v>
      </c>
      <c r="B1" s="4" t="s">
        <v>30</v>
      </c>
      <c r="C1" s="243" t="s">
        <v>445</v>
      </c>
    </row>
    <row r="2" spans="1:11" ht="15">
      <c r="A2" s="295"/>
      <c r="B2" s="4" t="s">
        <v>486</v>
      </c>
      <c r="C2" s="243"/>
    </row>
    <row r="3" spans="1:11">
      <c r="B3" t="s">
        <v>31</v>
      </c>
      <c r="C3" s="3"/>
    </row>
    <row r="4" spans="1:11">
      <c r="B4" t="s">
        <v>33</v>
      </c>
      <c r="C4" s="3">
        <v>320000</v>
      </c>
      <c r="E4" s="255" t="s">
        <v>450</v>
      </c>
    </row>
    <row r="5" spans="1:11">
      <c r="B5" t="s">
        <v>32</v>
      </c>
      <c r="C5" s="7">
        <f>C4</f>
        <v>320000</v>
      </c>
      <c r="E5" s="256">
        <f>C4*5/(1.11)^5</f>
        <v>949522.12489369384</v>
      </c>
    </row>
    <row r="8" spans="1:11">
      <c r="B8" t="s">
        <v>34</v>
      </c>
      <c r="C8" s="3">
        <f>950000/10</f>
        <v>95000</v>
      </c>
      <c r="D8" s="246"/>
    </row>
    <row r="9" spans="1:11">
      <c r="B9" t="s">
        <v>35</v>
      </c>
      <c r="C9" s="3">
        <f>950000*11%</f>
        <v>104500</v>
      </c>
      <c r="D9" s="246"/>
    </row>
    <row r="10" spans="1:11" ht="15">
      <c r="B10" t="s">
        <v>36</v>
      </c>
      <c r="C10" s="66">
        <f>C4-C8-C9</f>
        <v>120500</v>
      </c>
      <c r="D10" s="4" t="s">
        <v>486</v>
      </c>
    </row>
    <row r="13" spans="1:11" ht="15">
      <c r="A13" s="295" t="s">
        <v>497</v>
      </c>
      <c r="B13" s="4" t="s">
        <v>37</v>
      </c>
      <c r="C13" s="243" t="s">
        <v>447</v>
      </c>
    </row>
    <row r="15" spans="1:11" ht="30" customHeight="1">
      <c r="B15" s="33"/>
      <c r="C15" s="34" t="s">
        <v>481</v>
      </c>
      <c r="D15" s="34" t="s">
        <v>44</v>
      </c>
      <c r="E15" s="34" t="s">
        <v>45</v>
      </c>
    </row>
    <row r="16" spans="1:11">
      <c r="B16" s="12" t="s">
        <v>38</v>
      </c>
      <c r="C16" s="30">
        <v>825000</v>
      </c>
      <c r="D16" s="32">
        <f>-C16</f>
        <v>-825000</v>
      </c>
      <c r="E16" s="30">
        <f>C16+D16</f>
        <v>0</v>
      </c>
      <c r="J16" s="7"/>
      <c r="K16" s="7"/>
    </row>
    <row r="17" spans="1:11">
      <c r="B17" s="12" t="s">
        <v>39</v>
      </c>
      <c r="C17" s="30">
        <v>1425000</v>
      </c>
      <c r="D17" s="30"/>
      <c r="E17" s="30">
        <f t="shared" ref="E17:E20" si="0">C17+D17</f>
        <v>1425000</v>
      </c>
      <c r="G17" s="8"/>
      <c r="H17" s="3"/>
      <c r="J17" s="7"/>
      <c r="K17" s="7"/>
    </row>
    <row r="18" spans="1:11" ht="15">
      <c r="B18" s="12" t="s">
        <v>40</v>
      </c>
      <c r="C18" s="30">
        <v>1950000</v>
      </c>
      <c r="D18" s="30">
        <f>-($D$21+$D$16)*C18/($C$18+$C$19)</f>
        <v>-1280882.3529411764</v>
      </c>
      <c r="E18" s="31">
        <f t="shared" si="0"/>
        <v>669117.64705882361</v>
      </c>
      <c r="G18" s="8"/>
      <c r="H18" s="3"/>
      <c r="J18" s="7"/>
      <c r="K18" s="7"/>
    </row>
    <row r="19" spans="1:11">
      <c r="B19" s="12" t="s">
        <v>41</v>
      </c>
      <c r="C19" s="30">
        <v>600000</v>
      </c>
      <c r="D19" s="30">
        <f>-($D$21+$D$16)*C19/($C$18+$C$19)</f>
        <v>-394117.64705882355</v>
      </c>
      <c r="E19" s="30">
        <f t="shared" si="0"/>
        <v>205882.35294117645</v>
      </c>
      <c r="G19" s="8"/>
      <c r="H19" s="3"/>
      <c r="J19" s="7"/>
      <c r="K19" s="7"/>
    </row>
    <row r="20" spans="1:11">
      <c r="B20" s="12" t="s">
        <v>42</v>
      </c>
      <c r="C20" s="30">
        <v>645000</v>
      </c>
      <c r="D20" s="30"/>
      <c r="E20" s="30">
        <f t="shared" si="0"/>
        <v>645000</v>
      </c>
      <c r="G20" s="8"/>
      <c r="H20" s="3"/>
      <c r="J20" s="7"/>
      <c r="K20" s="7"/>
    </row>
    <row r="21" spans="1:11" ht="15">
      <c r="B21" s="12" t="s">
        <v>43</v>
      </c>
      <c r="C21" s="263">
        <f>SUM(C16:C20)</f>
        <v>5445000</v>
      </c>
      <c r="D21" s="263">
        <v>2500000</v>
      </c>
      <c r="E21" s="263">
        <f>SUM(E16:E20)</f>
        <v>2945000</v>
      </c>
      <c r="H21" s="35"/>
      <c r="K21" s="35"/>
    </row>
    <row r="22" spans="1:11">
      <c r="C22" s="3"/>
      <c r="D22" s="3"/>
      <c r="E22" s="3"/>
      <c r="I22" s="7"/>
    </row>
    <row r="24" spans="1:11" ht="15">
      <c r="A24" s="295" t="s">
        <v>498</v>
      </c>
      <c r="B24" s="4" t="s">
        <v>41</v>
      </c>
      <c r="C24" s="243" t="s">
        <v>446</v>
      </c>
    </row>
    <row r="26" spans="1:11">
      <c r="B26" t="s">
        <v>53</v>
      </c>
      <c r="C26" s="3">
        <v>4500</v>
      </c>
    </row>
    <row r="27" spans="1:11">
      <c r="B27" t="s">
        <v>54</v>
      </c>
      <c r="C27" s="3">
        <f>C26*6/9</f>
        <v>3000</v>
      </c>
    </row>
    <row r="28" spans="1:11">
      <c r="B28" t="s">
        <v>52</v>
      </c>
      <c r="C28" s="3">
        <f>C26-C27</f>
        <v>1500</v>
      </c>
    </row>
    <row r="29" spans="1:11">
      <c r="C29" s="3"/>
    </row>
    <row r="30" spans="1:11">
      <c r="B30" t="s">
        <v>55</v>
      </c>
      <c r="C30" s="3">
        <f>C27/5*3/12</f>
        <v>150</v>
      </c>
    </row>
    <row r="31" spans="1:11" ht="15">
      <c r="B31" t="s">
        <v>56</v>
      </c>
      <c r="C31" s="66">
        <f>C30+C28</f>
        <v>1650</v>
      </c>
      <c r="D31" s="4" t="s">
        <v>486</v>
      </c>
    </row>
    <row r="34" spans="1:4" ht="15.75" thickBot="1">
      <c r="A34" s="295">
        <v>9</v>
      </c>
      <c r="B34" s="4" t="s">
        <v>41</v>
      </c>
      <c r="C34" s="243" t="s">
        <v>445</v>
      </c>
    </row>
    <row r="35" spans="1:4" ht="18.75" thickBot="1">
      <c r="B35" s="26"/>
      <c r="C35" s="27" t="s">
        <v>57</v>
      </c>
    </row>
    <row r="36" spans="1:4" ht="54.75" thickBot="1">
      <c r="B36" s="28" t="s">
        <v>464</v>
      </c>
      <c r="C36" s="29" t="s">
        <v>59</v>
      </c>
    </row>
    <row r="37" spans="1:4" ht="54.75" thickBot="1">
      <c r="B37" s="28" t="s">
        <v>58</v>
      </c>
      <c r="C37" s="29" t="s">
        <v>60</v>
      </c>
    </row>
    <row r="38" spans="1:4" ht="54.75" thickBot="1">
      <c r="B38" s="28" t="s">
        <v>465</v>
      </c>
      <c r="C38" s="29" t="s">
        <v>60</v>
      </c>
    </row>
    <row r="41" spans="1:4" ht="18">
      <c r="A41" s="295" t="s">
        <v>499</v>
      </c>
      <c r="B41" s="37" t="s">
        <v>61</v>
      </c>
      <c r="C41" s="243" t="s">
        <v>446</v>
      </c>
    </row>
    <row r="42" spans="1:4">
      <c r="B42" t="s">
        <v>63</v>
      </c>
      <c r="C42" s="3">
        <v>25000</v>
      </c>
    </row>
    <row r="43" spans="1:4">
      <c r="B43" t="s">
        <v>64</v>
      </c>
      <c r="C43" s="3">
        <f>-C42*2%</f>
        <v>-500</v>
      </c>
    </row>
    <row r="44" spans="1:4">
      <c r="B44" t="s">
        <v>65</v>
      </c>
      <c r="C44" s="3">
        <f>C42+C43</f>
        <v>24500</v>
      </c>
    </row>
    <row r="45" spans="1:4">
      <c r="B45" t="s">
        <v>62</v>
      </c>
      <c r="C45" s="3">
        <v>21000</v>
      </c>
    </row>
    <row r="46" spans="1:4" ht="15">
      <c r="B46" t="s">
        <v>66</v>
      </c>
      <c r="C46" s="3">
        <f>C44-C45</f>
        <v>3500</v>
      </c>
      <c r="D46" s="4" t="s">
        <v>486</v>
      </c>
    </row>
    <row r="48" spans="1:4">
      <c r="B48" t="s">
        <v>482</v>
      </c>
    </row>
    <row r="49" spans="1:9">
      <c r="B49" t="s">
        <v>466</v>
      </c>
    </row>
    <row r="52" spans="1:9" ht="15">
      <c r="A52" s="295">
        <v>11</v>
      </c>
      <c r="B52" s="4" t="s">
        <v>79</v>
      </c>
      <c r="C52" s="243" t="s">
        <v>444</v>
      </c>
    </row>
    <row r="53" spans="1:9" ht="15.75" thickBot="1">
      <c r="B53" s="38"/>
      <c r="C53" s="331">
        <v>46022</v>
      </c>
      <c r="D53" s="332"/>
      <c r="E53" s="332"/>
      <c r="F53" s="39"/>
      <c r="G53" s="331">
        <v>45657</v>
      </c>
      <c r="H53" s="332"/>
      <c r="I53" s="332"/>
    </row>
    <row r="54" spans="1:9" ht="25.5">
      <c r="B54" s="40" t="s">
        <v>73</v>
      </c>
      <c r="C54" s="41" t="s">
        <v>74</v>
      </c>
      <c r="D54" s="41" t="s">
        <v>75</v>
      </c>
      <c r="E54" s="41" t="s">
        <v>76</v>
      </c>
      <c r="F54" s="42"/>
      <c r="G54" s="41" t="s">
        <v>74</v>
      </c>
      <c r="H54" s="41" t="s">
        <v>75</v>
      </c>
      <c r="I54" s="51" t="s">
        <v>76</v>
      </c>
    </row>
    <row r="55" spans="1:9" ht="15">
      <c r="B55" s="40" t="s">
        <v>69</v>
      </c>
      <c r="C55" s="3">
        <v>4300000</v>
      </c>
      <c r="D55" s="3">
        <v>3235000</v>
      </c>
      <c r="E55" s="45">
        <f t="shared" ref="E55:E59" si="1">IF(C55&gt;0,(D55-C55),(D55-C55))</f>
        <v>-1065000</v>
      </c>
      <c r="F55" s="44"/>
      <c r="G55" s="3">
        <v>4106000</v>
      </c>
      <c r="H55" s="3">
        <v>2942700</v>
      </c>
      <c r="I55" s="45">
        <f t="shared" ref="I55:I59" si="2">IF(G55&gt;0,(H55-G55),(H55-G55))</f>
        <v>-1163300</v>
      </c>
    </row>
    <row r="56" spans="1:9" ht="15">
      <c r="B56" s="40" t="s">
        <v>70</v>
      </c>
      <c r="C56" s="3">
        <v>155000</v>
      </c>
      <c r="D56" s="3">
        <f>('[1]Dif. Tax-2024'!E65/1000)/1.5</f>
        <v>0</v>
      </c>
      <c r="E56" s="45">
        <f>IF(C56&gt;0,(D56-C56),(D56-C56))</f>
        <v>-155000</v>
      </c>
      <c r="F56" s="44"/>
      <c r="G56" s="3">
        <v>109000</v>
      </c>
      <c r="H56" s="3">
        <v>0</v>
      </c>
      <c r="I56" s="45">
        <f>IF(G56&gt;0,(H56-G56),(H56-G56))</f>
        <v>-109000</v>
      </c>
    </row>
    <row r="57" spans="1:9" ht="15">
      <c r="B57" s="40" t="s">
        <v>77</v>
      </c>
      <c r="C57" s="3">
        <v>1440000</v>
      </c>
      <c r="D57" s="3">
        <v>1450000</v>
      </c>
      <c r="E57" s="45">
        <f t="shared" si="1"/>
        <v>10000</v>
      </c>
      <c r="F57" s="44"/>
      <c r="G57" s="3">
        <v>1630000</v>
      </c>
      <c r="H57" s="3">
        <v>1640000</v>
      </c>
      <c r="I57" s="45">
        <f t="shared" si="2"/>
        <v>10000</v>
      </c>
    </row>
    <row r="58" spans="1:9" ht="15">
      <c r="B58" s="38" t="s">
        <v>71</v>
      </c>
      <c r="C58" s="3">
        <v>-166900</v>
      </c>
      <c r="D58" s="3">
        <f>('[1]Dif. Tax-2024'!E68/1000)/1.5</f>
        <v>0</v>
      </c>
      <c r="E58" s="45">
        <f t="shared" si="1"/>
        <v>166900</v>
      </c>
      <c r="F58" s="44"/>
      <c r="G58" s="3">
        <v>-121000</v>
      </c>
      <c r="H58" s="3">
        <v>0</v>
      </c>
      <c r="I58" s="45">
        <f t="shared" si="2"/>
        <v>121000</v>
      </c>
    </row>
    <row r="59" spans="1:9" ht="15">
      <c r="B59" s="40" t="s">
        <v>78</v>
      </c>
      <c r="C59" s="62">
        <v>-44000</v>
      </c>
      <c r="D59" s="62">
        <v>0</v>
      </c>
      <c r="E59" s="58">
        <f t="shared" si="1"/>
        <v>44000</v>
      </c>
      <c r="F59" s="44"/>
      <c r="G59" s="62">
        <v>-38000</v>
      </c>
      <c r="H59" s="62">
        <v>0</v>
      </c>
      <c r="I59" s="58">
        <f t="shared" si="2"/>
        <v>38000</v>
      </c>
    </row>
    <row r="60" spans="1:9" ht="15">
      <c r="B60" s="40"/>
      <c r="C60" s="55">
        <f>SUM(C55:C59)</f>
        <v>5684100</v>
      </c>
      <c r="D60" s="55">
        <f>SUM(D55:D59)</f>
        <v>4685000</v>
      </c>
      <c r="E60" s="56">
        <f>SUM(E55:E59)</f>
        <v>-999100</v>
      </c>
      <c r="F60" s="49"/>
      <c r="G60" s="57">
        <f>SUM(G55:G59)</f>
        <v>5686000</v>
      </c>
      <c r="H60" s="58">
        <f>SUM(H55:H59)</f>
        <v>4582700</v>
      </c>
      <c r="I60" s="58">
        <f>SUM(I55:I59)</f>
        <v>-1103300</v>
      </c>
    </row>
    <row r="61" spans="1:9" ht="15">
      <c r="B61" s="40"/>
      <c r="C61" s="44"/>
      <c r="D61" s="44"/>
      <c r="E61" s="48"/>
      <c r="F61" s="44"/>
      <c r="G61" s="46"/>
      <c r="H61" s="47"/>
      <c r="I61" s="45"/>
    </row>
    <row r="62" spans="1:9" ht="15">
      <c r="A62" s="291" t="s">
        <v>500</v>
      </c>
    </row>
    <row r="63" spans="1:9" ht="15">
      <c r="B63" s="50"/>
      <c r="C63" s="333" t="s">
        <v>67</v>
      </c>
      <c r="D63" s="333"/>
      <c r="E63" s="43"/>
      <c r="F63" s="43"/>
      <c r="G63" s="333" t="s">
        <v>68</v>
      </c>
      <c r="H63" s="333"/>
    </row>
    <row r="64" spans="1:9" ht="15.75" thickBot="1">
      <c r="B64" s="40" t="s">
        <v>73</v>
      </c>
      <c r="C64" s="52">
        <v>46022</v>
      </c>
      <c r="D64" s="52">
        <v>45657</v>
      </c>
      <c r="E64" s="51"/>
      <c r="F64" s="51"/>
      <c r="G64" s="52">
        <v>46022</v>
      </c>
      <c r="H64" s="52">
        <v>45657</v>
      </c>
    </row>
    <row r="65" spans="1:8" ht="15">
      <c r="B65" s="40" t="s">
        <v>69</v>
      </c>
      <c r="C65" s="53"/>
      <c r="D65" s="53"/>
      <c r="E65" s="51"/>
      <c r="F65" s="51"/>
      <c r="G65" s="53">
        <f>E55*0.18</f>
        <v>-191700</v>
      </c>
      <c r="H65" s="53">
        <f>I55*0.18</f>
        <v>-209394</v>
      </c>
    </row>
    <row r="66" spans="1:8" ht="15">
      <c r="B66" s="40" t="s">
        <v>70</v>
      </c>
      <c r="C66" s="53"/>
      <c r="D66" s="53"/>
      <c r="E66" s="51"/>
      <c r="F66" s="51"/>
      <c r="G66" s="53">
        <f>E56*0.18</f>
        <v>-27900</v>
      </c>
      <c r="H66" s="53">
        <f>I56*0.18</f>
        <v>-19620</v>
      </c>
    </row>
    <row r="67" spans="1:8" ht="15">
      <c r="B67" s="40" t="s">
        <v>77</v>
      </c>
      <c r="C67" s="53">
        <f>E57*0.18</f>
        <v>1800</v>
      </c>
      <c r="D67" s="53">
        <f>I57*0.18</f>
        <v>1800</v>
      </c>
      <c r="E67" s="51"/>
      <c r="F67" s="51"/>
      <c r="G67" s="53"/>
      <c r="H67" s="53"/>
    </row>
    <row r="68" spans="1:8" ht="15">
      <c r="B68" s="38" t="s">
        <v>71</v>
      </c>
      <c r="C68" s="53">
        <f>E58*0.18</f>
        <v>30042</v>
      </c>
      <c r="D68" s="53">
        <f>I58*0.18</f>
        <v>21780</v>
      </c>
      <c r="E68" s="54"/>
      <c r="F68" s="54"/>
      <c r="G68" s="53"/>
      <c r="H68" s="53"/>
    </row>
    <row r="69" spans="1:8" ht="15">
      <c r="B69" s="40" t="s">
        <v>78</v>
      </c>
      <c r="C69" s="59">
        <f>E59*0.18</f>
        <v>7920</v>
      </c>
      <c r="D69" s="59">
        <f>I59*0.18</f>
        <v>6840</v>
      </c>
      <c r="E69" s="63"/>
      <c r="F69" s="63"/>
      <c r="G69" s="59"/>
      <c r="H69" s="59"/>
    </row>
    <row r="70" spans="1:8" ht="15">
      <c r="B70" s="61" t="s">
        <v>72</v>
      </c>
      <c r="C70" s="60">
        <f>SUM(C65:C69)</f>
        <v>39762</v>
      </c>
      <c r="D70" s="60">
        <f>SUM(D65:D69)</f>
        <v>30420</v>
      </c>
      <c r="E70" s="4"/>
      <c r="F70" s="4"/>
      <c r="G70" s="60">
        <f>SUM(G65:G69)</f>
        <v>-219600</v>
      </c>
      <c r="H70" s="60">
        <f>SUM(H65:H69)</f>
        <v>-229014</v>
      </c>
    </row>
    <row r="72" spans="1:8" ht="15">
      <c r="A72" s="298" t="s">
        <v>501</v>
      </c>
      <c r="B72" s="299"/>
      <c r="C72" s="299"/>
      <c r="D72" s="299"/>
      <c r="E72" s="299"/>
      <c r="F72" s="299"/>
      <c r="G72" s="299"/>
      <c r="H72" s="299"/>
    </row>
    <row r="73" spans="1:8" ht="15">
      <c r="A73" s="300"/>
      <c r="B73" s="301"/>
      <c r="C73" s="334" t="s">
        <v>67</v>
      </c>
      <c r="D73" s="334"/>
      <c r="E73" s="302"/>
      <c r="F73" s="302"/>
      <c r="G73" s="334" t="s">
        <v>68</v>
      </c>
      <c r="H73" s="334"/>
    </row>
    <row r="74" spans="1:8" ht="15.75" thickBot="1">
      <c r="A74" s="300"/>
      <c r="B74" s="303" t="s">
        <v>73</v>
      </c>
      <c r="C74" s="304">
        <v>46022</v>
      </c>
      <c r="D74" s="304">
        <v>45657</v>
      </c>
      <c r="E74" s="305"/>
      <c r="F74" s="305"/>
      <c r="G74" s="304">
        <v>46022</v>
      </c>
      <c r="H74" s="304">
        <v>45657</v>
      </c>
    </row>
    <row r="75" spans="1:8" ht="15">
      <c r="A75" s="300"/>
      <c r="B75" s="303" t="s">
        <v>69</v>
      </c>
      <c r="C75" s="306"/>
      <c r="D75" s="306"/>
      <c r="E75" s="305"/>
      <c r="F75" s="305"/>
      <c r="G75" s="306">
        <f>E55*0.2</f>
        <v>-213000</v>
      </c>
      <c r="H75" s="306">
        <f>I55*0.2</f>
        <v>-232660</v>
      </c>
    </row>
    <row r="76" spans="1:8" ht="15">
      <c r="A76" s="300"/>
      <c r="B76" s="303" t="s">
        <v>70</v>
      </c>
      <c r="C76" s="306"/>
      <c r="D76" s="306"/>
      <c r="E76" s="305"/>
      <c r="F76" s="305"/>
      <c r="G76" s="306">
        <f>E56*0.2</f>
        <v>-31000</v>
      </c>
      <c r="H76" s="306">
        <f>I56*0.2</f>
        <v>-21800</v>
      </c>
    </row>
    <row r="77" spans="1:8" ht="15">
      <c r="A77" s="300"/>
      <c r="B77" s="303" t="s">
        <v>77</v>
      </c>
      <c r="C77" s="306">
        <f>E57*0.2</f>
        <v>2000</v>
      </c>
      <c r="D77" s="306">
        <f>I57*0.2</f>
        <v>2000</v>
      </c>
      <c r="E77" s="305"/>
      <c r="F77" s="305"/>
      <c r="G77" s="306"/>
      <c r="H77" s="306"/>
    </row>
    <row r="78" spans="1:8" ht="15">
      <c r="A78" s="300"/>
      <c r="B78" s="307" t="s">
        <v>71</v>
      </c>
      <c r="C78" s="306">
        <f>E58*0.2</f>
        <v>33380</v>
      </c>
      <c r="D78" s="306">
        <f>I58*0.2</f>
        <v>24200</v>
      </c>
      <c r="E78" s="308"/>
      <c r="F78" s="308"/>
      <c r="G78" s="306"/>
      <c r="H78" s="306"/>
    </row>
    <row r="79" spans="1:8" ht="15">
      <c r="A79" s="300"/>
      <c r="B79" s="303" t="s">
        <v>78</v>
      </c>
      <c r="C79" s="309">
        <f>E59*0.2</f>
        <v>8800</v>
      </c>
      <c r="D79" s="309">
        <f>I59*0.2</f>
        <v>7600</v>
      </c>
      <c r="E79" s="310"/>
      <c r="F79" s="310"/>
      <c r="G79" s="309"/>
      <c r="H79" s="309"/>
    </row>
    <row r="80" spans="1:8" ht="15">
      <c r="A80" s="300"/>
      <c r="B80" s="311" t="s">
        <v>72</v>
      </c>
      <c r="C80" s="312">
        <f>SUM(C75:C79)</f>
        <v>44180</v>
      </c>
      <c r="D80" s="312">
        <f>SUM(D75:D79)</f>
        <v>33800</v>
      </c>
      <c r="E80" s="313"/>
      <c r="F80" s="313"/>
      <c r="G80" s="312">
        <f>SUM(G75:G79)</f>
        <v>-244000</v>
      </c>
      <c r="H80" s="312">
        <f>SUM(H75:H79)</f>
        <v>-254460</v>
      </c>
    </row>
    <row r="81" spans="1:8">
      <c r="A81" s="300"/>
      <c r="B81" s="299"/>
      <c r="C81" s="299"/>
      <c r="D81" s="299"/>
      <c r="E81" s="299"/>
      <c r="F81" s="299"/>
      <c r="G81" s="299"/>
      <c r="H81" s="299"/>
    </row>
    <row r="83" spans="1:8" ht="16.5">
      <c r="A83" s="329" t="s">
        <v>502</v>
      </c>
    </row>
  </sheetData>
  <mergeCells count="6">
    <mergeCell ref="C53:E53"/>
    <mergeCell ref="G53:I53"/>
    <mergeCell ref="C63:D63"/>
    <mergeCell ref="G63:H63"/>
    <mergeCell ref="C73:D73"/>
    <mergeCell ref="G73:H7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9"/>
  <sheetViews>
    <sheetView topLeftCell="A127" zoomScale="96" zoomScaleNormal="95" workbookViewId="0">
      <selection activeCell="U45" sqref="U45"/>
    </sheetView>
  </sheetViews>
  <sheetFormatPr defaultColWidth="8.625" defaultRowHeight="14.25"/>
  <cols>
    <col min="1" max="1" width="59.125" style="70" customWidth="1"/>
    <col min="2" max="2" width="24.5" style="69" customWidth="1"/>
    <col min="3" max="3" width="19.875" style="69" customWidth="1"/>
    <col min="4" max="4" width="20.125" style="69" customWidth="1"/>
    <col min="5" max="5" width="11.625" style="69" customWidth="1"/>
    <col min="6" max="6" width="12.375" style="69" bestFit="1" customWidth="1"/>
    <col min="7" max="7" width="12.625" style="70" bestFit="1" customWidth="1"/>
    <col min="8" max="8" width="19.5" style="70" customWidth="1"/>
    <col min="9" max="9" width="18.625" style="70" customWidth="1"/>
    <col min="10" max="10" width="18.875" style="70" customWidth="1"/>
    <col min="11" max="11" width="4.375" style="70" customWidth="1"/>
    <col min="12" max="12" width="8.625" style="68"/>
    <col min="13" max="14" width="8.625" style="70"/>
    <col min="15" max="15" width="12.5" style="70" customWidth="1"/>
    <col min="16" max="18" width="8.625" style="70"/>
    <col min="19" max="19" width="10.5" style="70" customWidth="1"/>
    <col min="20" max="16384" width="8.625" style="70"/>
  </cols>
  <sheetData>
    <row r="1" spans="1:16">
      <c r="A1" s="68" t="s">
        <v>84</v>
      </c>
    </row>
    <row r="2" spans="1:16" hidden="1">
      <c r="A2" s="68"/>
    </row>
    <row r="3" spans="1:16" ht="42.75" hidden="1">
      <c r="A3" s="71" t="s">
        <v>85</v>
      </c>
    </row>
    <row r="4" spans="1:16" ht="15" hidden="1" customHeight="1">
      <c r="A4" s="72" t="s">
        <v>86</v>
      </c>
      <c r="H4" s="73" t="s">
        <v>87</v>
      </c>
      <c r="I4" s="73"/>
      <c r="J4" s="73" t="s">
        <v>88</v>
      </c>
    </row>
    <row r="5" spans="1:16" ht="34.5" hidden="1" customHeight="1" thickBot="1">
      <c r="A5" s="72"/>
      <c r="B5" s="74" t="s">
        <v>89</v>
      </c>
      <c r="D5" s="74" t="s">
        <v>90</v>
      </c>
      <c r="F5" s="75"/>
      <c r="J5" s="74"/>
      <c r="P5" s="69"/>
    </row>
    <row r="6" spans="1:16" ht="28.5" hidden="1" customHeight="1">
      <c r="A6" s="76" t="s">
        <v>91</v>
      </c>
      <c r="B6" s="77"/>
      <c r="C6" s="78"/>
      <c r="D6" s="77"/>
      <c r="E6" s="78"/>
      <c r="F6" s="77"/>
      <c r="G6" s="70" t="s">
        <v>92</v>
      </c>
      <c r="H6" s="79">
        <f>-B114</f>
        <v>-24000</v>
      </c>
      <c r="I6" s="79"/>
      <c r="J6" s="77">
        <f>+B6+D6/2+H6</f>
        <v>-24000</v>
      </c>
      <c r="L6" s="73">
        <v>2</v>
      </c>
      <c r="M6" s="73" t="s">
        <v>93</v>
      </c>
      <c r="O6" s="79"/>
    </row>
    <row r="7" spans="1:16" ht="15" hidden="1" thickBot="1">
      <c r="A7" s="76" t="s">
        <v>94</v>
      </c>
      <c r="B7" s="80"/>
      <c r="C7" s="78"/>
      <c r="D7" s="80"/>
      <c r="E7" s="78"/>
      <c r="F7" s="81"/>
      <c r="G7" s="70" t="s">
        <v>92</v>
      </c>
      <c r="H7" s="82">
        <f>-B115</f>
        <v>-20000</v>
      </c>
      <c r="I7" s="79"/>
      <c r="J7" s="80">
        <f>+B7+D7/2+H7</f>
        <v>-20000</v>
      </c>
      <c r="L7" s="73">
        <v>2</v>
      </c>
      <c r="M7" s="73" t="s">
        <v>93</v>
      </c>
    </row>
    <row r="8" spans="1:16" hidden="1">
      <c r="A8" s="83" t="s">
        <v>95</v>
      </c>
      <c r="B8" s="84">
        <f>+B6+B7</f>
        <v>0</v>
      </c>
      <c r="C8" s="75"/>
      <c r="D8" s="84">
        <f>+D6+D7</f>
        <v>0</v>
      </c>
      <c r="E8" s="75"/>
      <c r="F8" s="84"/>
      <c r="H8" s="79">
        <f>SUM(H6:H7)</f>
        <v>-44000</v>
      </c>
      <c r="I8" s="79"/>
      <c r="J8" s="84">
        <f>+J6+J7</f>
        <v>-44000</v>
      </c>
    </row>
    <row r="9" spans="1:16" hidden="1">
      <c r="A9" s="76" t="s">
        <v>96</v>
      </c>
      <c r="B9" s="77"/>
      <c r="C9" s="78"/>
      <c r="D9" s="77"/>
      <c r="E9" s="78"/>
      <c r="F9" s="77"/>
      <c r="G9" s="70" t="s">
        <v>97</v>
      </c>
      <c r="H9" s="79">
        <f>+C95</f>
        <v>-16000</v>
      </c>
      <c r="I9" s="79"/>
      <c r="J9" s="77">
        <f>+B9+D9/2+H9</f>
        <v>-16000</v>
      </c>
      <c r="L9" s="73">
        <v>0.5</v>
      </c>
      <c r="M9" s="73" t="s">
        <v>93</v>
      </c>
    </row>
    <row r="10" spans="1:16" hidden="1">
      <c r="A10" s="76" t="s">
        <v>98</v>
      </c>
      <c r="B10" s="77"/>
      <c r="C10" s="78"/>
      <c r="D10" s="77"/>
      <c r="E10" s="78"/>
      <c r="F10" s="77"/>
      <c r="G10" s="70" t="s">
        <v>99</v>
      </c>
      <c r="H10" s="79">
        <f>+B107</f>
        <v>-3000</v>
      </c>
      <c r="I10" s="79"/>
      <c r="J10" s="77">
        <f>+B10+D10/2+H10</f>
        <v>-3000</v>
      </c>
      <c r="L10" s="73">
        <v>1</v>
      </c>
      <c r="M10" s="73" t="s">
        <v>93</v>
      </c>
    </row>
    <row r="11" spans="1:16" hidden="1">
      <c r="A11" s="76" t="s">
        <v>100</v>
      </c>
      <c r="B11" s="77"/>
      <c r="C11" s="78"/>
      <c r="D11" s="77"/>
      <c r="E11" s="78"/>
      <c r="F11" s="77"/>
      <c r="H11" s="79"/>
      <c r="I11" s="79"/>
      <c r="J11" s="77">
        <f>+B11+D11/2+H11</f>
        <v>0</v>
      </c>
      <c r="L11" s="73">
        <v>0.5</v>
      </c>
      <c r="M11" s="73" t="s">
        <v>93</v>
      </c>
    </row>
    <row r="12" spans="1:16" hidden="1">
      <c r="A12" s="76" t="s">
        <v>101</v>
      </c>
      <c r="B12" s="77"/>
      <c r="C12" s="78"/>
      <c r="D12" s="77"/>
      <c r="E12" s="78"/>
      <c r="F12" s="77"/>
      <c r="G12" s="70" t="s">
        <v>102</v>
      </c>
      <c r="H12" s="85">
        <f>-B100</f>
        <v>0</v>
      </c>
      <c r="I12" s="85"/>
      <c r="J12" s="77">
        <f>+B12+D12/2+H12</f>
        <v>0</v>
      </c>
      <c r="L12" s="73">
        <v>1</v>
      </c>
      <c r="M12" s="73" t="s">
        <v>93</v>
      </c>
    </row>
    <row r="13" spans="1:16" hidden="1">
      <c r="A13" s="76" t="s">
        <v>103</v>
      </c>
      <c r="B13" s="77"/>
      <c r="C13" s="78"/>
      <c r="D13" s="77"/>
      <c r="E13" s="78"/>
      <c r="F13" s="77"/>
      <c r="G13" s="70" t="s">
        <v>104</v>
      </c>
      <c r="H13" s="85" t="e">
        <f>+#REF!</f>
        <v>#REF!</v>
      </c>
      <c r="I13" s="85"/>
      <c r="J13" s="77" t="e">
        <f>+B13+D13/2+H13</f>
        <v>#REF!</v>
      </c>
      <c r="L13" s="73">
        <v>0.5</v>
      </c>
      <c r="M13" s="73" t="s">
        <v>93</v>
      </c>
    </row>
    <row r="14" spans="1:16" hidden="1">
      <c r="A14" s="76" t="s">
        <v>105</v>
      </c>
      <c r="B14" s="86"/>
      <c r="C14" s="78"/>
      <c r="D14" s="86"/>
      <c r="E14" s="78"/>
      <c r="F14" s="81"/>
      <c r="G14" s="70" t="s">
        <v>106</v>
      </c>
      <c r="H14" s="79" t="e">
        <f>-#REF!</f>
        <v>#REF!</v>
      </c>
      <c r="I14" s="79"/>
      <c r="J14" s="86" t="e">
        <f>+H14+B14</f>
        <v>#REF!</v>
      </c>
      <c r="L14" s="73">
        <v>1</v>
      </c>
      <c r="M14" s="73" t="s">
        <v>93</v>
      </c>
    </row>
    <row r="15" spans="1:16" hidden="1">
      <c r="A15" s="76" t="s">
        <v>107</v>
      </c>
      <c r="B15" s="87">
        <f>+SUM(B8:B14)</f>
        <v>0</v>
      </c>
      <c r="D15" s="87">
        <f>+SUM(D8:D14)</f>
        <v>0</v>
      </c>
      <c r="F15" s="87"/>
      <c r="J15" s="87" t="e">
        <f>SUM(J8:J14)</f>
        <v>#REF!</v>
      </c>
      <c r="L15" s="73"/>
      <c r="M15" s="73"/>
    </row>
    <row r="16" spans="1:16" hidden="1">
      <c r="A16" s="76" t="s">
        <v>108</v>
      </c>
      <c r="B16" s="88"/>
      <c r="D16" s="88"/>
      <c r="F16" s="89"/>
      <c r="J16" s="86">
        <f>+B16+D16/2</f>
        <v>0</v>
      </c>
      <c r="L16" s="73">
        <v>0.5</v>
      </c>
      <c r="M16" s="73" t="s">
        <v>93</v>
      </c>
    </row>
    <row r="17" spans="1:13" hidden="1">
      <c r="A17" s="76" t="s">
        <v>109</v>
      </c>
      <c r="B17" s="87">
        <f>+B16+B15</f>
        <v>0</v>
      </c>
      <c r="D17" s="87">
        <f>+D15+D16</f>
        <v>0</v>
      </c>
      <c r="F17" s="87"/>
      <c r="J17" s="87" t="e">
        <f>+J16+J15</f>
        <v>#REF!</v>
      </c>
      <c r="L17" s="73"/>
      <c r="M17" s="73"/>
    </row>
    <row r="18" spans="1:13" hidden="1">
      <c r="A18" s="76"/>
      <c r="B18" s="87"/>
      <c r="D18" s="87"/>
      <c r="F18" s="87"/>
      <c r="J18" s="87"/>
      <c r="L18" s="73"/>
      <c r="M18" s="73"/>
    </row>
    <row r="19" spans="1:13" ht="27" hidden="1">
      <c r="A19" s="90" t="s">
        <v>110</v>
      </c>
      <c r="B19" s="87"/>
      <c r="D19" s="87"/>
      <c r="F19" s="87"/>
      <c r="G19" s="70" t="s">
        <v>111</v>
      </c>
      <c r="J19" s="87">
        <f>+C133*0.4</f>
        <v>-6400</v>
      </c>
      <c r="L19" s="73">
        <v>2</v>
      </c>
      <c r="M19" s="73" t="s">
        <v>93</v>
      </c>
    </row>
    <row r="20" spans="1:13" ht="40.5" hidden="1">
      <c r="A20" s="90" t="s">
        <v>112</v>
      </c>
      <c r="B20" s="87"/>
      <c r="D20" s="87"/>
      <c r="F20" s="87"/>
      <c r="J20" s="87" t="e">
        <f>+J17-J19</f>
        <v>#REF!</v>
      </c>
      <c r="L20" s="73">
        <v>1.5</v>
      </c>
      <c r="M20" s="73" t="s">
        <v>93</v>
      </c>
    </row>
    <row r="21" spans="1:13" hidden="1">
      <c r="A21" s="76"/>
      <c r="B21" s="87"/>
      <c r="D21" s="87"/>
      <c r="F21" s="87"/>
      <c r="J21" s="87"/>
      <c r="L21" s="73"/>
      <c r="M21" s="73"/>
    </row>
    <row r="22" spans="1:13" hidden="1">
      <c r="A22" s="91"/>
      <c r="B22" s="87"/>
      <c r="D22" s="87"/>
      <c r="F22" s="87"/>
      <c r="J22" s="87"/>
      <c r="L22" s="73"/>
      <c r="M22" s="73"/>
    </row>
    <row r="23" spans="1:13" hidden="1">
      <c r="A23" s="76" t="s">
        <v>113</v>
      </c>
      <c r="B23" s="92"/>
      <c r="D23" s="87"/>
      <c r="F23" s="87"/>
      <c r="J23" s="87"/>
    </row>
    <row r="24" spans="1:13" hidden="1">
      <c r="A24" s="76" t="s">
        <v>114</v>
      </c>
      <c r="B24" s="88"/>
      <c r="D24" s="88"/>
      <c r="F24" s="89"/>
      <c r="J24" s="88">
        <f>+B24+H24+D24</f>
        <v>0</v>
      </c>
      <c r="L24" s="73">
        <v>1.5</v>
      </c>
      <c r="M24" s="73" t="s">
        <v>93</v>
      </c>
    </row>
    <row r="25" spans="1:13" hidden="1">
      <c r="B25" s="93">
        <f>+B24+B17</f>
        <v>0</v>
      </c>
      <c r="C25" s="94"/>
      <c r="D25" s="93">
        <f>+D24+D17</f>
        <v>0</v>
      </c>
      <c r="E25" s="94"/>
      <c r="F25" s="93"/>
      <c r="J25" s="93" t="e">
        <f>+J24+J17</f>
        <v>#REF!</v>
      </c>
      <c r="L25" s="73"/>
      <c r="M25" s="73"/>
    </row>
    <row r="26" spans="1:13" hidden="1">
      <c r="A26" s="90" t="s">
        <v>115</v>
      </c>
    </row>
    <row r="27" spans="1:13" ht="27" hidden="1">
      <c r="A27" s="90" t="s">
        <v>110</v>
      </c>
      <c r="G27" s="70" t="s">
        <v>111</v>
      </c>
      <c r="J27" s="95" t="e">
        <f>+J19+#REF!</f>
        <v>#REF!</v>
      </c>
      <c r="L27" s="73">
        <v>0.5</v>
      </c>
      <c r="M27" s="73" t="s">
        <v>93</v>
      </c>
    </row>
    <row r="28" spans="1:13" ht="40.5" hidden="1">
      <c r="A28" s="90" t="s">
        <v>112</v>
      </c>
      <c r="J28" s="96" t="e">
        <f>+J25-J27</f>
        <v>#REF!</v>
      </c>
      <c r="L28" s="73">
        <v>0.5</v>
      </c>
      <c r="M28" s="73" t="s">
        <v>93</v>
      </c>
    </row>
    <row r="29" spans="1:13" hidden="1">
      <c r="J29" s="95" t="e">
        <f>+J28+J27</f>
        <v>#REF!</v>
      </c>
      <c r="L29" s="73"/>
      <c r="M29" s="73"/>
    </row>
    <row r="30" spans="1:13" hidden="1">
      <c r="L30" s="73"/>
      <c r="M30" s="73"/>
    </row>
    <row r="31" spans="1:13">
      <c r="A31" s="68" t="s">
        <v>116</v>
      </c>
      <c r="L31" s="73"/>
      <c r="M31" s="73"/>
    </row>
    <row r="32" spans="1:13">
      <c r="L32" s="73"/>
      <c r="M32" s="73"/>
    </row>
    <row r="33" spans="1:19">
      <c r="A33" s="72" t="s">
        <v>86</v>
      </c>
      <c r="B33" s="75"/>
      <c r="C33" s="75"/>
      <c r="D33" s="75"/>
      <c r="E33" s="75"/>
      <c r="F33" s="75"/>
    </row>
    <row r="34" spans="1:19" ht="40.5" customHeight="1" thickBot="1">
      <c r="A34" s="83"/>
      <c r="B34" s="97" t="s">
        <v>117</v>
      </c>
      <c r="C34" s="98"/>
      <c r="D34" s="97" t="s">
        <v>118</v>
      </c>
      <c r="E34" s="98"/>
      <c r="F34" s="97" t="s">
        <v>119</v>
      </c>
      <c r="H34" s="73" t="s">
        <v>120</v>
      </c>
      <c r="I34" s="73" t="s">
        <v>121</v>
      </c>
      <c r="J34" s="73" t="s">
        <v>88</v>
      </c>
    </row>
    <row r="35" spans="1:19">
      <c r="A35" s="83" t="s">
        <v>67</v>
      </c>
      <c r="B35" s="78"/>
      <c r="C35" s="78"/>
      <c r="D35" s="78"/>
      <c r="E35" s="78"/>
      <c r="F35" s="78"/>
    </row>
    <row r="36" spans="1:19">
      <c r="A36" s="83" t="s">
        <v>122</v>
      </c>
      <c r="B36" s="78"/>
      <c r="C36" s="78"/>
      <c r="D36" s="78"/>
      <c r="E36" s="78"/>
      <c r="F36" s="78"/>
      <c r="H36" s="79"/>
      <c r="I36" s="79"/>
    </row>
    <row r="37" spans="1:19">
      <c r="A37" s="83" t="s">
        <v>123</v>
      </c>
      <c r="B37" s="99">
        <v>185000</v>
      </c>
      <c r="C37" s="99"/>
      <c r="D37" s="99">
        <v>75000</v>
      </c>
      <c r="E37" s="99"/>
      <c r="F37" s="99">
        <v>65000</v>
      </c>
      <c r="G37" s="70" t="s">
        <v>99</v>
      </c>
      <c r="H37" s="79">
        <f>+B108</f>
        <v>13000</v>
      </c>
      <c r="I37" s="79"/>
      <c r="J37" s="79">
        <f>+B37+F37+H37+D37+I37</f>
        <v>338000</v>
      </c>
      <c r="L37" s="73">
        <v>1</v>
      </c>
      <c r="M37" s="73" t="s">
        <v>93</v>
      </c>
      <c r="O37" s="314"/>
      <c r="P37" s="327" t="s">
        <v>118</v>
      </c>
      <c r="Q37" s="327" t="s">
        <v>119</v>
      </c>
      <c r="R37" s="328"/>
      <c r="S37" s="327" t="s">
        <v>185</v>
      </c>
    </row>
    <row r="38" spans="1:19">
      <c r="A38" s="91" t="s">
        <v>124</v>
      </c>
      <c r="B38" s="100">
        <v>58000</v>
      </c>
      <c r="C38" s="101"/>
      <c r="D38" s="100"/>
      <c r="E38" s="101"/>
      <c r="F38" s="100"/>
      <c r="G38" s="70" t="s">
        <v>104</v>
      </c>
      <c r="H38" s="79">
        <f>B131</f>
        <v>7000</v>
      </c>
      <c r="J38" s="79">
        <f t="shared" ref="J38" si="0">+B38+F38+H38+D38</f>
        <v>65000</v>
      </c>
      <c r="L38" s="73">
        <v>1</v>
      </c>
      <c r="M38" s="73" t="s">
        <v>93</v>
      </c>
      <c r="O38" s="315" t="s">
        <v>97</v>
      </c>
      <c r="P38" s="316">
        <v>0.75</v>
      </c>
      <c r="Q38" s="316">
        <v>0.25</v>
      </c>
      <c r="R38" s="316"/>
      <c r="S38" s="317">
        <v>1</v>
      </c>
    </row>
    <row r="39" spans="1:19">
      <c r="A39" s="76" t="s">
        <v>125</v>
      </c>
      <c r="B39" s="100"/>
      <c r="C39" s="101"/>
      <c r="D39" s="100"/>
      <c r="E39" s="101"/>
      <c r="F39" s="100"/>
      <c r="G39" s="70" t="s">
        <v>102</v>
      </c>
      <c r="H39" s="79">
        <f>+C96</f>
        <v>148000.25</v>
      </c>
      <c r="I39" s="79">
        <f>H96</f>
        <v>116200</v>
      </c>
      <c r="J39" s="102">
        <f>+B39+F39+H39+D39+I39</f>
        <v>264200.25</v>
      </c>
      <c r="L39" s="274">
        <v>3.5</v>
      </c>
      <c r="M39" s="73" t="s">
        <v>93</v>
      </c>
      <c r="O39" s="318" t="s">
        <v>102</v>
      </c>
      <c r="P39" s="319">
        <v>3</v>
      </c>
      <c r="Q39" s="319">
        <v>1.75</v>
      </c>
      <c r="R39" s="319">
        <v>0.25</v>
      </c>
      <c r="S39" s="320">
        <v>5</v>
      </c>
    </row>
    <row r="40" spans="1:19">
      <c r="A40" s="76" t="s">
        <v>126</v>
      </c>
      <c r="B40" s="100">
        <v>180000</v>
      </c>
      <c r="C40" s="101"/>
      <c r="D40" s="100"/>
      <c r="E40" s="101"/>
      <c r="F40" s="100"/>
      <c r="H40" s="79"/>
      <c r="I40" s="79"/>
      <c r="J40" s="79">
        <f>H40+I40</f>
        <v>0</v>
      </c>
      <c r="L40" s="73"/>
      <c r="M40" s="73"/>
      <c r="O40" s="318" t="s">
        <v>106</v>
      </c>
      <c r="P40" s="319"/>
      <c r="Q40" s="319">
        <v>0.5</v>
      </c>
      <c r="R40" s="319"/>
      <c r="S40" s="320">
        <v>0.5</v>
      </c>
    </row>
    <row r="41" spans="1:19" ht="15" thickBot="1">
      <c r="A41" s="76" t="s">
        <v>127</v>
      </c>
      <c r="B41" s="103">
        <v>100000</v>
      </c>
      <c r="C41" s="100"/>
      <c r="D41" s="103"/>
      <c r="E41" s="100"/>
      <c r="F41" s="103"/>
      <c r="J41" s="104">
        <f>H41+I41</f>
        <v>0</v>
      </c>
      <c r="O41" s="318" t="s">
        <v>99</v>
      </c>
      <c r="P41" s="319">
        <v>1</v>
      </c>
      <c r="Q41" s="319"/>
      <c r="R41" s="319"/>
      <c r="S41" s="320">
        <v>1</v>
      </c>
    </row>
    <row r="42" spans="1:19">
      <c r="A42" s="76" t="s">
        <v>128</v>
      </c>
      <c r="B42" s="101">
        <f>SUM(B37:B41)</f>
        <v>523000</v>
      </c>
      <c r="C42" s="105"/>
      <c r="D42" s="101">
        <f>SUM(D37:D41)</f>
        <v>75000</v>
      </c>
      <c r="E42" s="100"/>
      <c r="F42" s="101">
        <f>SUM(F37:F41)</f>
        <v>65000</v>
      </c>
      <c r="J42" s="106">
        <f>SUM(J37:J41)</f>
        <v>667200.25</v>
      </c>
      <c r="O42" s="318" t="s">
        <v>92</v>
      </c>
      <c r="P42" s="319">
        <v>3.75</v>
      </c>
      <c r="Q42" s="319">
        <v>1</v>
      </c>
      <c r="R42" s="319"/>
      <c r="S42" s="320">
        <v>4.75</v>
      </c>
    </row>
    <row r="43" spans="1:19">
      <c r="A43" s="76"/>
      <c r="B43" s="78"/>
      <c r="C43" s="78"/>
      <c r="D43" s="78"/>
      <c r="E43" s="78"/>
      <c r="F43" s="78"/>
      <c r="J43" s="79"/>
      <c r="O43" s="318" t="s">
        <v>104</v>
      </c>
      <c r="P43" s="319">
        <v>2.75</v>
      </c>
      <c r="Q43" s="319"/>
      <c r="R43" s="319">
        <v>0.25</v>
      </c>
      <c r="S43" s="320">
        <v>3</v>
      </c>
    </row>
    <row r="44" spans="1:19">
      <c r="A44" s="83" t="s">
        <v>129</v>
      </c>
      <c r="B44" s="78"/>
      <c r="C44" s="78"/>
      <c r="D44" s="78"/>
      <c r="E44" s="78"/>
      <c r="F44" s="78"/>
      <c r="J44" s="79"/>
      <c r="O44" s="318" t="s">
        <v>140</v>
      </c>
      <c r="P44" s="319">
        <v>3</v>
      </c>
      <c r="Q44" s="319">
        <v>0.75</v>
      </c>
      <c r="R44" s="319">
        <v>0.25</v>
      </c>
      <c r="S44" s="320">
        <v>4</v>
      </c>
    </row>
    <row r="45" spans="1:19">
      <c r="A45" s="76" t="s">
        <v>130</v>
      </c>
      <c r="B45" s="107">
        <v>126000</v>
      </c>
      <c r="C45" s="78"/>
      <c r="D45" s="107">
        <v>50000</v>
      </c>
      <c r="E45" s="78"/>
      <c r="F45" s="107">
        <v>15000</v>
      </c>
      <c r="G45" s="70" t="s">
        <v>92</v>
      </c>
      <c r="H45" s="79">
        <f>-B118</f>
        <v>-2000</v>
      </c>
      <c r="I45" s="79">
        <f>-G118</f>
        <v>-3000</v>
      </c>
      <c r="J45" s="79">
        <f>+B45+D45+H45+F45+I45</f>
        <v>186000</v>
      </c>
      <c r="L45" s="73">
        <v>2</v>
      </c>
      <c r="M45" s="73" t="s">
        <v>93</v>
      </c>
      <c r="O45" s="318" t="s">
        <v>469</v>
      </c>
      <c r="P45" s="319">
        <v>0.5</v>
      </c>
      <c r="Q45" s="319"/>
      <c r="R45" s="319"/>
      <c r="S45" s="320">
        <v>0.5</v>
      </c>
    </row>
    <row r="46" spans="1:19" ht="27">
      <c r="A46" s="76" t="s">
        <v>131</v>
      </c>
      <c r="B46" s="107">
        <v>150000</v>
      </c>
      <c r="C46" s="78"/>
      <c r="D46" s="107">
        <v>20000</v>
      </c>
      <c r="E46" s="78"/>
      <c r="F46" s="107">
        <v>20000</v>
      </c>
      <c r="G46" s="70" t="s">
        <v>92</v>
      </c>
      <c r="H46" s="79">
        <f>-B114</f>
        <v>-24000</v>
      </c>
      <c r="I46" s="79">
        <f>-G119</f>
        <v>-7500</v>
      </c>
      <c r="J46" s="79">
        <f>+B46+D46+H46+F46+I46</f>
        <v>158500</v>
      </c>
      <c r="L46" s="73">
        <v>1.75</v>
      </c>
      <c r="M46" s="73" t="s">
        <v>93</v>
      </c>
      <c r="O46" s="321" t="s">
        <v>227</v>
      </c>
      <c r="P46" s="322"/>
      <c r="Q46" s="322"/>
      <c r="R46" s="322">
        <v>0.25</v>
      </c>
      <c r="S46" s="323">
        <v>0.25</v>
      </c>
    </row>
    <row r="47" spans="1:19" ht="15" thickBot="1">
      <c r="A47" s="76" t="s">
        <v>132</v>
      </c>
      <c r="B47" s="108">
        <f>526000-276000</f>
        <v>250000</v>
      </c>
      <c r="C47" s="78"/>
      <c r="D47" s="108">
        <v>100000</v>
      </c>
      <c r="E47" s="78"/>
      <c r="F47" s="108">
        <f>80000-35000</f>
        <v>45000</v>
      </c>
      <c r="J47" s="79">
        <f>+B47+D47+H47+F47+I47</f>
        <v>395000</v>
      </c>
      <c r="L47" s="73">
        <v>0.25</v>
      </c>
      <c r="M47" s="73" t="s">
        <v>93</v>
      </c>
      <c r="O47" s="324"/>
      <c r="P47" s="325">
        <v>14.75</v>
      </c>
      <c r="Q47" s="325">
        <v>4.25</v>
      </c>
      <c r="R47" s="325">
        <v>1</v>
      </c>
      <c r="S47" s="326">
        <v>20</v>
      </c>
    </row>
    <row r="48" spans="1:19" ht="15" thickBot="1">
      <c r="A48" s="76"/>
      <c r="B48" s="109">
        <f>SUM(B45:B47)</f>
        <v>526000</v>
      </c>
      <c r="C48" s="100"/>
      <c r="D48" s="109">
        <f>SUM(D45:D47)</f>
        <v>170000</v>
      </c>
      <c r="E48" s="105"/>
      <c r="F48" s="109">
        <f>SUM(F45:F47)</f>
        <v>80000</v>
      </c>
      <c r="J48" s="110">
        <f>SUM(J45:J47)</f>
        <v>739500</v>
      </c>
    </row>
    <row r="49" spans="1:15">
      <c r="A49" s="83" t="s">
        <v>43</v>
      </c>
      <c r="B49" s="101">
        <f>+B48+B42</f>
        <v>1049000</v>
      </c>
      <c r="C49" s="100"/>
      <c r="D49" s="101">
        <f>+D48+D42</f>
        <v>245000</v>
      </c>
      <c r="E49" s="105"/>
      <c r="F49" s="101">
        <f>+F48+F42</f>
        <v>145000</v>
      </c>
      <c r="J49" s="106">
        <f>+J48+J42</f>
        <v>1406700.25</v>
      </c>
    </row>
    <row r="50" spans="1:15">
      <c r="A50" s="76"/>
      <c r="B50" s="75"/>
      <c r="C50" s="78"/>
      <c r="D50" s="78"/>
      <c r="E50" s="78"/>
      <c r="F50" s="78"/>
    </row>
    <row r="51" spans="1:15">
      <c r="A51" s="83" t="s">
        <v>133</v>
      </c>
      <c r="B51" s="78"/>
      <c r="C51" s="78"/>
      <c r="D51" s="78"/>
      <c r="E51" s="78"/>
      <c r="F51" s="78"/>
    </row>
    <row r="52" spans="1:15">
      <c r="A52" s="83" t="s">
        <v>134</v>
      </c>
      <c r="B52" s="78"/>
      <c r="C52" s="78"/>
      <c r="D52" s="78"/>
      <c r="E52" s="78"/>
      <c r="F52" s="78"/>
      <c r="H52" s="102"/>
    </row>
    <row r="53" spans="1:15">
      <c r="A53" s="76" t="s">
        <v>135</v>
      </c>
      <c r="B53" s="107">
        <v>500000</v>
      </c>
      <c r="C53" s="78"/>
      <c r="D53" s="77">
        <v>100000</v>
      </c>
      <c r="E53" s="78"/>
      <c r="F53" s="77">
        <v>100000</v>
      </c>
      <c r="G53" s="70" t="s">
        <v>102</v>
      </c>
      <c r="H53" s="102">
        <f>C88</f>
        <v>50000</v>
      </c>
      <c r="J53" s="85">
        <f>+B53+H53</f>
        <v>550000</v>
      </c>
      <c r="L53" s="73">
        <v>0.5</v>
      </c>
      <c r="M53" s="73" t="s">
        <v>93</v>
      </c>
    </row>
    <row r="54" spans="1:15">
      <c r="A54" s="76" t="s">
        <v>136</v>
      </c>
      <c r="B54" s="107"/>
      <c r="C54" s="78"/>
      <c r="D54" s="77"/>
      <c r="E54" s="78"/>
      <c r="F54" s="77"/>
      <c r="G54" s="70" t="s">
        <v>102</v>
      </c>
      <c r="H54" s="102">
        <f>D88</f>
        <v>50000</v>
      </c>
      <c r="I54" s="79"/>
      <c r="J54" s="85">
        <f>+B54+H54</f>
        <v>50000</v>
      </c>
      <c r="L54" s="73">
        <v>0.5</v>
      </c>
      <c r="M54" s="73" t="s">
        <v>93</v>
      </c>
    </row>
    <row r="55" spans="1:15">
      <c r="A55" s="111" t="s">
        <v>137</v>
      </c>
      <c r="B55" s="107"/>
      <c r="C55" s="78"/>
      <c r="D55" s="77">
        <v>30000</v>
      </c>
      <c r="E55" s="78"/>
      <c r="F55" s="77"/>
      <c r="G55" s="70" t="s">
        <v>469</v>
      </c>
      <c r="H55" s="79">
        <f>B149</f>
        <v>12000</v>
      </c>
      <c r="I55" s="79"/>
      <c r="J55" s="102">
        <f>+B55+H55</f>
        <v>12000</v>
      </c>
      <c r="L55" s="73">
        <v>0.5</v>
      </c>
      <c r="M55" s="73" t="s">
        <v>93</v>
      </c>
    </row>
    <row r="56" spans="1:15">
      <c r="A56" s="111" t="s">
        <v>138</v>
      </c>
      <c r="B56" s="107">
        <v>238000</v>
      </c>
      <c r="C56" s="78"/>
      <c r="D56" s="81">
        <v>80000</v>
      </c>
      <c r="E56" s="78"/>
      <c r="F56" s="81">
        <v>32000</v>
      </c>
      <c r="G56" s="70" t="s">
        <v>104</v>
      </c>
      <c r="H56" s="112">
        <f>B135</f>
        <v>254550.2</v>
      </c>
      <c r="I56" s="112"/>
      <c r="J56" s="102">
        <f>+H56+I56</f>
        <v>254550.2</v>
      </c>
      <c r="L56" s="73">
        <v>2</v>
      </c>
      <c r="M56" s="73" t="s">
        <v>93</v>
      </c>
      <c r="O56" s="113"/>
    </row>
    <row r="57" spans="1:15">
      <c r="A57" s="111" t="s">
        <v>139</v>
      </c>
      <c r="B57" s="114"/>
      <c r="C57" s="78"/>
      <c r="D57" s="86"/>
      <c r="E57" s="78"/>
      <c r="F57" s="86"/>
      <c r="G57" s="70" t="s">
        <v>140</v>
      </c>
      <c r="H57" s="79">
        <f>B143</f>
        <v>50400.05</v>
      </c>
      <c r="I57" s="79">
        <f>G143</f>
        <v>58050</v>
      </c>
      <c r="J57" s="102">
        <f>+B57+H57+I57</f>
        <v>108450.05</v>
      </c>
      <c r="L57" s="73">
        <v>4</v>
      </c>
      <c r="M57" s="73" t="s">
        <v>93</v>
      </c>
    </row>
    <row r="58" spans="1:15">
      <c r="A58" s="83"/>
      <c r="B58" s="115">
        <f>SUM(B53:B56)</f>
        <v>738000</v>
      </c>
      <c r="C58" s="78"/>
      <c r="D58" s="115">
        <f>SUM(D53:D56)</f>
        <v>210000</v>
      </c>
      <c r="E58" s="78"/>
      <c r="F58" s="115">
        <f>SUM(F53:F56)</f>
        <v>132000</v>
      </c>
      <c r="J58" s="106">
        <f>SUM(J53:J57)</f>
        <v>975000.25</v>
      </c>
      <c r="L58" s="73"/>
    </row>
    <row r="59" spans="1:15">
      <c r="A59" s="76"/>
      <c r="B59" s="78"/>
      <c r="C59" s="78"/>
      <c r="D59" s="78"/>
      <c r="E59" s="78"/>
      <c r="F59" s="78"/>
      <c r="L59" s="73"/>
    </row>
    <row r="60" spans="1:15">
      <c r="A60" s="83" t="s">
        <v>141</v>
      </c>
      <c r="B60" s="75"/>
      <c r="C60" s="78"/>
      <c r="D60" s="75"/>
      <c r="E60" s="78"/>
      <c r="F60" s="75"/>
      <c r="L60" s="73"/>
    </row>
    <row r="61" spans="1:15">
      <c r="A61" s="116" t="s">
        <v>142</v>
      </c>
      <c r="B61" s="107"/>
      <c r="C61" s="78"/>
      <c r="D61" s="77"/>
      <c r="E61" s="78"/>
      <c r="F61" s="77"/>
      <c r="G61" s="70" t="s">
        <v>467</v>
      </c>
      <c r="H61" s="79">
        <f>+B87+B100</f>
        <v>0</v>
      </c>
      <c r="I61" s="79">
        <f>-G100+G87</f>
        <v>87200</v>
      </c>
      <c r="J61" s="79">
        <f>+B61+D61+H61+F61+I61</f>
        <v>87200</v>
      </c>
      <c r="L61" s="73">
        <v>1</v>
      </c>
      <c r="M61" s="73" t="s">
        <v>93</v>
      </c>
    </row>
    <row r="62" spans="1:15">
      <c r="A62" s="116" t="s">
        <v>143</v>
      </c>
      <c r="B62" s="99">
        <v>311000</v>
      </c>
      <c r="C62" s="99"/>
      <c r="D62" s="99">
        <v>35000</v>
      </c>
      <c r="E62" s="99"/>
      <c r="F62" s="99">
        <v>13000</v>
      </c>
      <c r="G62" s="70" t="s">
        <v>92</v>
      </c>
      <c r="H62" s="79">
        <f>-B114</f>
        <v>-24000</v>
      </c>
      <c r="I62" s="79">
        <f>-G119</f>
        <v>-7500</v>
      </c>
      <c r="J62" s="79">
        <f>+B62+D62+H62+F62+I62</f>
        <v>327500</v>
      </c>
      <c r="L62" s="73">
        <v>1</v>
      </c>
      <c r="M62" s="73" t="s">
        <v>93</v>
      </c>
    </row>
    <row r="63" spans="1:15">
      <c r="A63" s="270" t="s">
        <v>449</v>
      </c>
      <c r="B63" s="271"/>
      <c r="C63" s="271"/>
      <c r="D63" s="271"/>
      <c r="E63" s="271"/>
      <c r="F63" s="271"/>
      <c r="G63" s="264" t="s">
        <v>97</v>
      </c>
      <c r="H63" s="273">
        <f>-D78</f>
        <v>17000</v>
      </c>
      <c r="I63" s="247"/>
      <c r="J63" s="273">
        <f>+B63+D63+H63+F63+I63</f>
        <v>17000</v>
      </c>
      <c r="K63" s="264"/>
      <c r="L63" s="274">
        <v>1</v>
      </c>
      <c r="M63" s="73" t="s">
        <v>93</v>
      </c>
    </row>
    <row r="64" spans="1:15">
      <c r="A64" s="83"/>
      <c r="B64" s="84">
        <f>SUM(B61:B62)</f>
        <v>311000</v>
      </c>
      <c r="C64" s="78"/>
      <c r="D64" s="84">
        <f>SUM(D61:D62)</f>
        <v>35000</v>
      </c>
      <c r="E64" s="78"/>
      <c r="F64" s="84">
        <f>SUM(F61:F62)</f>
        <v>13000</v>
      </c>
      <c r="J64" s="115">
        <f>SUM(J61:J63)</f>
        <v>431700</v>
      </c>
      <c r="L64" s="73"/>
    </row>
    <row r="65" spans="1:13">
      <c r="B65" s="92"/>
      <c r="L65" s="73">
        <f>SUM(L37:L63)</f>
        <v>20</v>
      </c>
      <c r="M65" s="73" t="s">
        <v>93</v>
      </c>
    </row>
    <row r="66" spans="1:13">
      <c r="A66" s="83" t="s">
        <v>144</v>
      </c>
      <c r="B66" s="87">
        <f>+B64+B58</f>
        <v>1049000</v>
      </c>
      <c r="D66" s="117">
        <f>+D64+D58</f>
        <v>245000</v>
      </c>
      <c r="F66" s="118">
        <f>+F64+F58</f>
        <v>145000</v>
      </c>
      <c r="J66" s="118">
        <f>+J64+J58</f>
        <v>1406700.25</v>
      </c>
      <c r="L66" s="73"/>
    </row>
    <row r="67" spans="1:13">
      <c r="B67" s="119">
        <f>B66-B49</f>
        <v>0</v>
      </c>
      <c r="C67" s="119">
        <f>C66-C49</f>
        <v>0</v>
      </c>
      <c r="D67" s="119">
        <f>D66-D49</f>
        <v>0</v>
      </c>
      <c r="E67" s="119">
        <f>E66-E49</f>
        <v>0</v>
      </c>
      <c r="F67" s="119">
        <f>F66-F49</f>
        <v>0</v>
      </c>
      <c r="J67" s="120">
        <f>J66-J49</f>
        <v>0</v>
      </c>
      <c r="L67" s="73"/>
    </row>
    <row r="68" spans="1:13">
      <c r="A68" s="68" t="s">
        <v>145</v>
      </c>
      <c r="B68" s="335" t="s">
        <v>118</v>
      </c>
      <c r="C68" s="335"/>
      <c r="D68" s="335"/>
      <c r="G68" s="335" t="s">
        <v>119</v>
      </c>
      <c r="H68" s="335"/>
      <c r="I68" s="335"/>
      <c r="L68" s="73"/>
    </row>
    <row r="69" spans="1:13" ht="27">
      <c r="B69" s="121" t="s">
        <v>146</v>
      </c>
      <c r="C69" s="121" t="s">
        <v>147</v>
      </c>
      <c r="D69" s="121" t="s">
        <v>148</v>
      </c>
      <c r="G69" s="121" t="s">
        <v>146</v>
      </c>
      <c r="H69" s="121" t="s">
        <v>147</v>
      </c>
      <c r="I69" s="121" t="s">
        <v>148</v>
      </c>
      <c r="L69" s="73"/>
    </row>
    <row r="70" spans="1:13">
      <c r="A70" s="76" t="s">
        <v>135</v>
      </c>
      <c r="B70" s="77">
        <v>100000</v>
      </c>
      <c r="C70" s="77">
        <f>D53</f>
        <v>100000</v>
      </c>
      <c r="D70" s="122">
        <f>C70-B70</f>
        <v>0</v>
      </c>
      <c r="E70" s="122"/>
      <c r="G70" s="77">
        <v>100000</v>
      </c>
      <c r="H70" s="77">
        <f>F53</f>
        <v>100000</v>
      </c>
      <c r="I70" s="79">
        <f>H70-G70</f>
        <v>0</v>
      </c>
      <c r="L70" s="73"/>
    </row>
    <row r="71" spans="1:13">
      <c r="A71" s="76" t="s">
        <v>136</v>
      </c>
      <c r="B71" s="99"/>
      <c r="C71" s="100"/>
      <c r="D71" s="99">
        <f t="shared" ref="D71:D78" si="1">C71-B71</f>
        <v>0</v>
      </c>
      <c r="G71" s="102">
        <v>0</v>
      </c>
      <c r="H71" s="102">
        <v>0</v>
      </c>
      <c r="I71" s="102">
        <f t="shared" ref="I71:I77" si="2">H71-G71</f>
        <v>0</v>
      </c>
      <c r="L71" s="73"/>
    </row>
    <row r="72" spans="1:13">
      <c r="A72" s="111" t="s">
        <v>137</v>
      </c>
      <c r="B72" s="99">
        <v>15000</v>
      </c>
      <c r="C72" s="100">
        <f>D55</f>
        <v>30000</v>
      </c>
      <c r="D72" s="99">
        <f t="shared" si="1"/>
        <v>15000</v>
      </c>
      <c r="G72" s="102"/>
      <c r="H72" s="102"/>
      <c r="I72" s="79">
        <f t="shared" si="2"/>
        <v>0</v>
      </c>
      <c r="L72" s="73"/>
    </row>
    <row r="73" spans="1:13">
      <c r="A73" s="111" t="s">
        <v>138</v>
      </c>
      <c r="B73" s="99">
        <f>C73-D73</f>
        <v>29999.75</v>
      </c>
      <c r="C73" s="123">
        <f>D56</f>
        <v>80000</v>
      </c>
      <c r="D73" s="124">
        <f>66667/12*9</f>
        <v>50000.25</v>
      </c>
      <c r="E73" s="122"/>
      <c r="G73" s="102">
        <v>16000</v>
      </c>
      <c r="H73" s="102">
        <f>F56</f>
        <v>32000</v>
      </c>
      <c r="I73" s="79">
        <f t="shared" si="2"/>
        <v>16000</v>
      </c>
      <c r="L73" s="73"/>
    </row>
    <row r="74" spans="1:13">
      <c r="A74" s="125" t="s">
        <v>87</v>
      </c>
      <c r="B74" s="99"/>
      <c r="C74" s="123"/>
      <c r="D74" s="99">
        <f t="shared" si="1"/>
        <v>0</v>
      </c>
      <c r="E74" s="126"/>
      <c r="I74" s="79">
        <f t="shared" si="2"/>
        <v>0</v>
      </c>
      <c r="L74" s="73"/>
    </row>
    <row r="75" spans="1:13">
      <c r="A75" s="111" t="s">
        <v>441</v>
      </c>
      <c r="B75" s="102">
        <v>16000</v>
      </c>
      <c r="C75" s="102">
        <f>B75</f>
        <v>16000</v>
      </c>
      <c r="D75" s="99">
        <f t="shared" si="1"/>
        <v>0</v>
      </c>
      <c r="E75" s="126"/>
      <c r="G75" s="102"/>
      <c r="H75" s="102"/>
      <c r="I75" s="79"/>
      <c r="L75" s="73"/>
    </row>
    <row r="76" spans="1:13">
      <c r="A76" s="111" t="s">
        <v>484</v>
      </c>
      <c r="B76" s="99"/>
      <c r="C76" s="113">
        <f>-C75/4/12*9</f>
        <v>-3000</v>
      </c>
      <c r="D76" s="99">
        <f t="shared" si="1"/>
        <v>-3000</v>
      </c>
      <c r="E76" s="126"/>
      <c r="H76" s="113"/>
      <c r="I76" s="79"/>
      <c r="L76" s="73"/>
    </row>
    <row r="77" spans="1:13">
      <c r="A77" s="111" t="s">
        <v>149</v>
      </c>
      <c r="B77" s="99"/>
      <c r="C77" s="123">
        <f>-B117</f>
        <v>-2000</v>
      </c>
      <c r="D77" s="99">
        <f t="shared" si="1"/>
        <v>-2000</v>
      </c>
      <c r="H77" s="113">
        <f>-G118</f>
        <v>-3000</v>
      </c>
      <c r="I77" s="79">
        <f t="shared" si="2"/>
        <v>-3000</v>
      </c>
      <c r="L77" s="73"/>
    </row>
    <row r="78" spans="1:13">
      <c r="A78" s="270" t="s">
        <v>449</v>
      </c>
      <c r="B78" s="271"/>
      <c r="C78" s="272">
        <v>-17000</v>
      </c>
      <c r="D78" s="271">
        <f t="shared" si="1"/>
        <v>-17000</v>
      </c>
      <c r="H78" s="113"/>
      <c r="I78" s="79"/>
      <c r="L78" s="73"/>
    </row>
    <row r="79" spans="1:13">
      <c r="B79" s="117">
        <f>SUM(B70:B78)</f>
        <v>160999.75</v>
      </c>
      <c r="C79" s="117">
        <f>SUM(C70:C78)</f>
        <v>204000</v>
      </c>
      <c r="D79" s="117">
        <f>SUM(D71:D78)</f>
        <v>43000.25</v>
      </c>
      <c r="G79" s="95">
        <f>SUM(G70:G77)</f>
        <v>116000</v>
      </c>
      <c r="H79" s="95">
        <f>SUM(H70:H77)</f>
        <v>129000</v>
      </c>
      <c r="I79" s="95">
        <f>SUM(I70:I77)</f>
        <v>13000</v>
      </c>
      <c r="L79" s="73"/>
    </row>
    <row r="80" spans="1:13">
      <c r="B80" s="117"/>
      <c r="C80" s="127"/>
      <c r="D80" s="127">
        <f>D79-D72</f>
        <v>28000.25</v>
      </c>
      <c r="G80" s="95"/>
      <c r="H80" s="95"/>
      <c r="I80" s="95"/>
      <c r="L80" s="73"/>
    </row>
    <row r="81" spans="1:16">
      <c r="B81" s="335" t="s">
        <v>118</v>
      </c>
      <c r="C81" s="335"/>
      <c r="D81" s="335"/>
      <c r="G81" s="335" t="s">
        <v>119</v>
      </c>
      <c r="H81" s="335"/>
      <c r="I81" s="335"/>
    </row>
    <row r="82" spans="1:16">
      <c r="A82" s="70" t="s">
        <v>150</v>
      </c>
      <c r="B82" s="128">
        <v>0.2</v>
      </c>
      <c r="D82" s="129"/>
      <c r="F82" s="130">
        <v>0.45</v>
      </c>
      <c r="G82" s="79">
        <f>G79*F82</f>
        <v>52200</v>
      </c>
      <c r="H82" s="79"/>
      <c r="J82" s="112"/>
    </row>
    <row r="83" spans="1:16">
      <c r="A83" s="70" t="s">
        <v>151</v>
      </c>
      <c r="B83" s="131">
        <v>0.8</v>
      </c>
      <c r="E83" s="132"/>
      <c r="F83" s="130">
        <v>0.55000000000000004</v>
      </c>
      <c r="G83" s="79">
        <f>G79*F83</f>
        <v>63800.000000000007</v>
      </c>
    </row>
    <row r="84" spans="1:16">
      <c r="A84" s="68" t="s">
        <v>152</v>
      </c>
      <c r="B84" s="94"/>
      <c r="G84" s="68"/>
    </row>
    <row r="85" spans="1:16">
      <c r="A85" s="68" t="s">
        <v>153</v>
      </c>
      <c r="B85" s="70"/>
      <c r="C85" s="70"/>
      <c r="E85" s="70"/>
    </row>
    <row r="86" spans="1:16">
      <c r="A86" s="70" t="s">
        <v>154</v>
      </c>
      <c r="B86" s="85">
        <v>180000</v>
      </c>
      <c r="C86" s="70">
        <v>1</v>
      </c>
      <c r="D86" s="124">
        <v>2</v>
      </c>
      <c r="E86" s="102"/>
      <c r="G86" s="102">
        <v>100000</v>
      </c>
    </row>
    <row r="87" spans="1:16" ht="38.25">
      <c r="A87" s="264" t="s">
        <v>483</v>
      </c>
      <c r="B87" s="265">
        <v>0</v>
      </c>
      <c r="C87" s="266" t="s">
        <v>135</v>
      </c>
      <c r="D87" s="266" t="s">
        <v>136</v>
      </c>
      <c r="E87" s="70"/>
      <c r="G87" s="102">
        <f>87200*1.09^-1</f>
        <v>80000</v>
      </c>
      <c r="H87" s="134">
        <v>0.09</v>
      </c>
    </row>
    <row r="88" spans="1:16">
      <c r="A88" s="264" t="s">
        <v>155</v>
      </c>
      <c r="B88" s="267">
        <f>D53/2*1*D86</f>
        <v>100000</v>
      </c>
      <c r="C88" s="268">
        <f>D53/2*1*C86</f>
        <v>50000</v>
      </c>
      <c r="D88" s="269">
        <f>D53/2*1*(D86-C86)</f>
        <v>50000</v>
      </c>
      <c r="E88" s="70"/>
      <c r="G88" s="135"/>
    </row>
    <row r="89" spans="1:16">
      <c r="B89" s="133">
        <f>SUM(B86:B88)</f>
        <v>280000</v>
      </c>
      <c r="C89" s="70"/>
      <c r="E89" s="70"/>
      <c r="G89" s="133">
        <f>SUM(G86:G88)</f>
        <v>180000</v>
      </c>
    </row>
    <row r="90" spans="1:16">
      <c r="A90" s="70" t="s">
        <v>156</v>
      </c>
      <c r="B90" s="95">
        <v>45000</v>
      </c>
      <c r="C90" s="70"/>
      <c r="E90" s="70"/>
      <c r="G90" s="95">
        <f>G82</f>
        <v>52200</v>
      </c>
    </row>
    <row r="91" spans="1:16" s="69" customFormat="1">
      <c r="A91" s="70"/>
      <c r="C91" s="96">
        <f>+B90+B89</f>
        <v>325000</v>
      </c>
      <c r="G91" s="70"/>
      <c r="H91" s="136">
        <f>+G90+G89</f>
        <v>232200</v>
      </c>
      <c r="I91" s="70"/>
      <c r="J91" s="70"/>
      <c r="K91" s="70"/>
      <c r="L91" s="68"/>
      <c r="M91" s="70"/>
      <c r="N91" s="70"/>
      <c r="O91" s="70"/>
      <c r="P91" s="70"/>
    </row>
    <row r="92" spans="1:16" s="69" customFormat="1">
      <c r="A92" s="70" t="s">
        <v>157</v>
      </c>
      <c r="B92" s="79">
        <f>B79</f>
        <v>160999.75</v>
      </c>
      <c r="C92" s="70"/>
      <c r="G92" s="79">
        <f>G79</f>
        <v>116000</v>
      </c>
      <c r="H92" s="70"/>
      <c r="I92" s="70"/>
      <c r="J92" s="70"/>
      <c r="K92" s="70"/>
      <c r="L92" s="68"/>
      <c r="M92" s="70"/>
      <c r="N92" s="70"/>
      <c r="O92" s="70"/>
      <c r="P92" s="70"/>
    </row>
    <row r="93" spans="1:16" s="69" customFormat="1">
      <c r="A93" s="70" t="s">
        <v>158</v>
      </c>
      <c r="C93" s="137">
        <f>+SUM(B92:B92)</f>
        <v>160999.75</v>
      </c>
      <c r="G93" s="70"/>
      <c r="H93" s="137">
        <f>+SUM(G92:G92)</f>
        <v>116000</v>
      </c>
      <c r="I93" s="70"/>
      <c r="J93" s="70"/>
      <c r="K93" s="70"/>
      <c r="L93" s="68"/>
      <c r="M93" s="70"/>
      <c r="N93" s="70"/>
      <c r="O93" s="70"/>
      <c r="P93" s="70"/>
    </row>
    <row r="94" spans="1:16" s="69" customFormat="1">
      <c r="A94" s="70" t="s">
        <v>159</v>
      </c>
      <c r="C94" s="93">
        <f>+C91-C93</f>
        <v>164000.25</v>
      </c>
      <c r="G94" s="70"/>
      <c r="H94" s="138">
        <f>+H91-H93</f>
        <v>116200</v>
      </c>
      <c r="I94" s="70"/>
      <c r="J94" s="70"/>
      <c r="K94" s="70"/>
      <c r="L94" s="68"/>
      <c r="M94" s="70"/>
      <c r="N94" s="70"/>
      <c r="O94" s="70"/>
      <c r="P94" s="70"/>
    </row>
    <row r="95" spans="1:16" s="69" customFormat="1">
      <c r="A95" s="70" t="s">
        <v>160</v>
      </c>
      <c r="C95" s="88">
        <v>-16000</v>
      </c>
      <c r="G95" s="70"/>
      <c r="H95" s="138"/>
      <c r="I95" s="70"/>
      <c r="J95" s="70"/>
      <c r="K95" s="70"/>
      <c r="L95" s="68"/>
      <c r="M95" s="70"/>
      <c r="N95" s="70"/>
      <c r="O95" s="70"/>
      <c r="P95" s="70"/>
    </row>
    <row r="96" spans="1:16" s="69" customFormat="1">
      <c r="A96" s="70" t="s">
        <v>161</v>
      </c>
      <c r="C96" s="93">
        <f>+C94+C95</f>
        <v>148000.25</v>
      </c>
      <c r="G96" s="70"/>
      <c r="H96" s="138">
        <f>+H94+H95</f>
        <v>116200</v>
      </c>
      <c r="I96" s="70"/>
      <c r="J96" s="70"/>
      <c r="K96" s="70"/>
      <c r="L96" s="68"/>
      <c r="M96" s="70"/>
      <c r="N96" s="70"/>
      <c r="O96" s="70"/>
      <c r="P96" s="70"/>
    </row>
    <row r="97" spans="1:16">
      <c r="H97" s="102"/>
    </row>
    <row r="98" spans="1:16" s="69" customFormat="1">
      <c r="A98" s="68"/>
      <c r="B98" s="335" t="s">
        <v>118</v>
      </c>
      <c r="C98" s="335"/>
      <c r="D98" s="335"/>
      <c r="G98" s="335" t="s">
        <v>119</v>
      </c>
      <c r="H98" s="335"/>
      <c r="I98" s="335"/>
      <c r="J98" s="70"/>
      <c r="K98" s="70"/>
      <c r="L98" s="68"/>
      <c r="M98" s="70"/>
      <c r="N98" s="70"/>
      <c r="O98" s="70"/>
      <c r="P98" s="70"/>
    </row>
    <row r="99" spans="1:16" s="69" customFormat="1">
      <c r="A99" s="68" t="s">
        <v>162</v>
      </c>
      <c r="G99" s="70"/>
      <c r="H99" s="70"/>
      <c r="I99" s="70"/>
      <c r="J99" s="70"/>
      <c r="K99" s="70"/>
      <c r="L99" s="68"/>
      <c r="M99" s="70"/>
      <c r="N99" s="70"/>
      <c r="O99" s="70"/>
      <c r="P99" s="70"/>
    </row>
    <row r="100" spans="1:16" s="69" customFormat="1" ht="27">
      <c r="A100" s="139" t="s">
        <v>163</v>
      </c>
      <c r="B100" s="140">
        <f>+B87*8%/2</f>
        <v>0</v>
      </c>
      <c r="G100" s="102">
        <f>-G87*H87</f>
        <v>-7200</v>
      </c>
      <c r="H100" s="70"/>
      <c r="I100" s="70"/>
      <c r="J100" s="70"/>
      <c r="K100" s="70"/>
      <c r="L100" s="68"/>
      <c r="M100" s="70"/>
      <c r="N100" s="70"/>
      <c r="O100" s="70"/>
      <c r="P100" s="70"/>
    </row>
    <row r="103" spans="1:16" s="69" customFormat="1">
      <c r="A103" s="68" t="s">
        <v>164</v>
      </c>
      <c r="G103" s="70"/>
      <c r="H103" s="70"/>
      <c r="I103" s="70"/>
      <c r="J103" s="70"/>
      <c r="K103" s="70"/>
      <c r="L103" s="68"/>
      <c r="M103" s="70"/>
      <c r="N103" s="70"/>
      <c r="O103" s="70"/>
      <c r="P103" s="70"/>
    </row>
    <row r="105" spans="1:16" s="69" customFormat="1">
      <c r="A105" s="68" t="s">
        <v>69</v>
      </c>
      <c r="G105" s="70"/>
      <c r="H105" s="70"/>
      <c r="I105" s="70"/>
      <c r="J105" s="70"/>
      <c r="K105" s="70"/>
      <c r="L105" s="68"/>
      <c r="M105" s="70"/>
      <c r="N105" s="70"/>
      <c r="O105" s="70"/>
      <c r="P105" s="70"/>
    </row>
    <row r="106" spans="1:16" s="69" customFormat="1">
      <c r="A106" s="70" t="s">
        <v>165</v>
      </c>
      <c r="B106" s="92">
        <f>B75</f>
        <v>16000</v>
      </c>
      <c r="G106" s="70"/>
      <c r="H106" s="70"/>
      <c r="I106" s="70"/>
      <c r="J106" s="70"/>
      <c r="K106" s="70"/>
      <c r="L106" s="68"/>
      <c r="M106" s="70"/>
      <c r="N106" s="70"/>
      <c r="O106" s="70"/>
      <c r="P106" s="70"/>
    </row>
    <row r="107" spans="1:16" s="69" customFormat="1">
      <c r="A107" s="70" t="s">
        <v>166</v>
      </c>
      <c r="B107" s="92">
        <f>-B106/4/12*9</f>
        <v>-3000</v>
      </c>
      <c r="G107" s="70"/>
      <c r="H107" s="70"/>
      <c r="I107" s="70"/>
      <c r="J107" s="70"/>
      <c r="K107" s="70"/>
      <c r="L107" s="68"/>
      <c r="M107" s="70"/>
      <c r="N107" s="70"/>
      <c r="O107" s="70"/>
      <c r="P107" s="70"/>
    </row>
    <row r="108" spans="1:16" s="69" customFormat="1">
      <c r="A108" s="70" t="s">
        <v>167</v>
      </c>
      <c r="B108" s="92">
        <f>+B106+B107</f>
        <v>13000</v>
      </c>
      <c r="G108" s="70"/>
      <c r="H108" s="70"/>
      <c r="I108" s="70"/>
      <c r="J108" s="70"/>
      <c r="K108" s="70"/>
      <c r="L108" s="68"/>
      <c r="M108" s="70"/>
      <c r="N108" s="70"/>
      <c r="O108" s="70"/>
      <c r="P108" s="70"/>
    </row>
    <row r="110" spans="1:16" s="69" customFormat="1">
      <c r="A110" s="68"/>
      <c r="G110" s="70"/>
      <c r="H110" s="70"/>
      <c r="I110" s="70"/>
      <c r="J110" s="70"/>
      <c r="K110" s="70"/>
      <c r="L110" s="68"/>
      <c r="M110" s="70"/>
      <c r="N110" s="70"/>
      <c r="O110" s="70"/>
      <c r="P110" s="70"/>
    </row>
    <row r="111" spans="1:16" s="69" customFormat="1">
      <c r="A111" s="68" t="s">
        <v>168</v>
      </c>
      <c r="B111" s="335" t="s">
        <v>118</v>
      </c>
      <c r="C111" s="335"/>
      <c r="D111" s="335"/>
      <c r="G111" s="335" t="s">
        <v>119</v>
      </c>
      <c r="H111" s="335"/>
      <c r="I111" s="335"/>
      <c r="J111" s="70"/>
      <c r="K111" s="70"/>
      <c r="L111" s="68"/>
      <c r="M111" s="70"/>
      <c r="N111" s="70"/>
      <c r="O111" s="70"/>
      <c r="P111" s="70"/>
    </row>
    <row r="113" spans="1:16" s="69" customFormat="1">
      <c r="A113" s="68" t="s">
        <v>169</v>
      </c>
      <c r="G113" s="70"/>
      <c r="H113" s="70"/>
      <c r="I113" s="70"/>
      <c r="J113" s="70"/>
      <c r="K113" s="70"/>
      <c r="L113" s="68"/>
      <c r="M113" s="70"/>
      <c r="N113" s="70"/>
      <c r="O113" s="70"/>
      <c r="P113" s="70"/>
    </row>
    <row r="114" spans="1:16" s="69" customFormat="1">
      <c r="A114" s="70" t="s">
        <v>170</v>
      </c>
      <c r="B114" s="92">
        <v>24000</v>
      </c>
      <c r="G114" s="102">
        <v>15000</v>
      </c>
      <c r="H114" s="141"/>
      <c r="I114" s="70"/>
      <c r="J114" s="70"/>
      <c r="K114" s="70"/>
      <c r="L114" s="68"/>
      <c r="M114" s="70"/>
      <c r="N114" s="70"/>
      <c r="O114" s="70"/>
      <c r="P114" s="70"/>
    </row>
    <row r="115" spans="1:16" s="69" customFormat="1">
      <c r="A115" s="70" t="s">
        <v>171</v>
      </c>
      <c r="B115" s="88">
        <f>B114-B114*20/120</f>
        <v>20000</v>
      </c>
      <c r="G115" s="102">
        <f>G114-(G114*30%)</f>
        <v>10500</v>
      </c>
      <c r="H115" s="70"/>
      <c r="I115" s="70"/>
      <c r="J115" s="70"/>
      <c r="K115" s="70"/>
      <c r="L115" s="68"/>
      <c r="M115" s="70"/>
      <c r="N115" s="70"/>
      <c r="O115" s="70"/>
      <c r="P115" s="70"/>
    </row>
    <row r="116" spans="1:16" s="69" customFormat="1">
      <c r="A116" s="70" t="s">
        <v>172</v>
      </c>
      <c r="B116" s="88">
        <f>B114-B115</f>
        <v>4000</v>
      </c>
      <c r="G116" s="102">
        <f>G114-G115</f>
        <v>4500</v>
      </c>
      <c r="H116" s="70"/>
      <c r="I116" s="70"/>
      <c r="J116" s="70"/>
      <c r="K116" s="70"/>
      <c r="L116" s="68"/>
      <c r="M116" s="70"/>
      <c r="N116" s="70"/>
      <c r="O116" s="70"/>
      <c r="P116" s="70"/>
    </row>
    <row r="117" spans="1:16" s="69" customFormat="1" ht="27">
      <c r="A117" s="139" t="s">
        <v>173</v>
      </c>
      <c r="B117" s="142">
        <f>B114*20/120/2</f>
        <v>2000</v>
      </c>
      <c r="G117" s="142">
        <f>(G114*30%)*2/3</f>
        <v>3000</v>
      </c>
      <c r="H117" s="70"/>
      <c r="I117" s="70"/>
      <c r="J117" s="70"/>
      <c r="K117" s="70"/>
      <c r="L117" s="68"/>
      <c r="M117" s="70"/>
      <c r="N117" s="70"/>
      <c r="O117" s="70"/>
      <c r="P117" s="70"/>
    </row>
    <row r="118" spans="1:16" s="69" customFormat="1">
      <c r="A118" s="70" t="s">
        <v>174</v>
      </c>
      <c r="B118" s="92">
        <f>+B117</f>
        <v>2000</v>
      </c>
      <c r="G118" s="102">
        <f>G117</f>
        <v>3000</v>
      </c>
      <c r="H118" s="70"/>
      <c r="I118" s="70"/>
      <c r="J118" s="70"/>
      <c r="K118" s="70"/>
      <c r="L118" s="68"/>
      <c r="M118" s="70"/>
      <c r="N118" s="70"/>
      <c r="O118" s="70"/>
      <c r="P118" s="70"/>
    </row>
    <row r="119" spans="1:16" s="69" customFormat="1" ht="27">
      <c r="A119" s="139" t="s">
        <v>175</v>
      </c>
      <c r="B119" s="92">
        <f>B114</f>
        <v>24000</v>
      </c>
      <c r="G119" s="102">
        <f>G114/2</f>
        <v>7500</v>
      </c>
      <c r="H119" s="70"/>
      <c r="I119" s="70"/>
      <c r="J119" s="70"/>
      <c r="K119" s="70"/>
      <c r="L119" s="68"/>
      <c r="M119" s="70"/>
      <c r="N119" s="70"/>
      <c r="O119" s="70"/>
      <c r="P119" s="70"/>
    </row>
    <row r="120" spans="1:16" s="69" customFormat="1">
      <c r="A120" s="70"/>
      <c r="B120" s="92"/>
      <c r="G120" s="70"/>
      <c r="H120" s="70"/>
      <c r="I120" s="70"/>
      <c r="J120" s="70"/>
      <c r="K120" s="70"/>
      <c r="L120" s="68"/>
      <c r="M120" s="70"/>
      <c r="N120" s="70"/>
      <c r="O120" s="70"/>
      <c r="P120" s="70"/>
    </row>
    <row r="121" spans="1:16" s="69" customFormat="1" ht="15.6" customHeight="1">
      <c r="A121" s="70"/>
      <c r="B121" s="92"/>
      <c r="G121" s="70"/>
      <c r="H121" s="70"/>
      <c r="I121" s="70"/>
      <c r="J121" s="70"/>
      <c r="K121" s="70"/>
      <c r="L121" s="68"/>
      <c r="M121" s="70"/>
      <c r="N121" s="70"/>
      <c r="O121" s="70"/>
      <c r="P121" s="70"/>
    </row>
    <row r="122" spans="1:16">
      <c r="A122" s="68" t="s">
        <v>176</v>
      </c>
    </row>
    <row r="124" spans="1:16">
      <c r="A124" s="70" t="s">
        <v>177</v>
      </c>
      <c r="B124" s="129">
        <f>+B56</f>
        <v>238000</v>
      </c>
      <c r="G124" s="112"/>
    </row>
    <row r="125" spans="1:16">
      <c r="A125" s="70" t="s">
        <v>178</v>
      </c>
      <c r="B125" s="129">
        <f>(D80*B83)+(I79*F83)</f>
        <v>29550.2</v>
      </c>
      <c r="C125" s="99"/>
      <c r="G125" s="79"/>
    </row>
    <row r="126" spans="1:16">
      <c r="A126" s="68" t="s">
        <v>87</v>
      </c>
    </row>
    <row r="127" spans="1:16">
      <c r="A127" s="70" t="s">
        <v>179</v>
      </c>
      <c r="B127" s="92"/>
      <c r="C127" s="92"/>
      <c r="E127" s="92"/>
    </row>
    <row r="128" spans="1:16">
      <c r="A128" s="70" t="s">
        <v>180</v>
      </c>
      <c r="B128" s="92"/>
      <c r="C128" s="99">
        <f>C95</f>
        <v>-16000</v>
      </c>
      <c r="E128" s="92"/>
    </row>
    <row r="129" spans="1:16">
      <c r="A129" s="70" t="s">
        <v>181</v>
      </c>
      <c r="B129" s="102">
        <f>-G87*H87</f>
        <v>-7200</v>
      </c>
      <c r="C129" s="92"/>
      <c r="E129" s="92"/>
    </row>
    <row r="130" spans="1:16">
      <c r="A130" s="70" t="s">
        <v>182</v>
      </c>
      <c r="B130" s="92"/>
      <c r="C130" s="92"/>
      <c r="E130" s="92"/>
    </row>
    <row r="131" spans="1:16">
      <c r="A131" s="70" t="s">
        <v>183</v>
      </c>
      <c r="B131" s="92">
        <f>65000-B38</f>
        <v>7000</v>
      </c>
      <c r="C131" s="92"/>
      <c r="E131" s="92"/>
    </row>
    <row r="132" spans="1:16">
      <c r="A132" s="70" t="s">
        <v>184</v>
      </c>
      <c r="B132" s="88"/>
      <c r="C132" s="88"/>
    </row>
    <row r="133" spans="1:16">
      <c r="A133" s="70" t="s">
        <v>185</v>
      </c>
      <c r="B133" s="118">
        <f>SUM(B124:B132)</f>
        <v>267350.2</v>
      </c>
      <c r="C133" s="118">
        <f>SUM(C124:C132)</f>
        <v>-16000</v>
      </c>
    </row>
    <row r="134" spans="1:16">
      <c r="A134" s="70" t="s">
        <v>186</v>
      </c>
      <c r="B134" s="99">
        <f>+C133*B83</f>
        <v>-12800</v>
      </c>
    </row>
    <row r="135" spans="1:16">
      <c r="B135" s="118">
        <f>+B134+B133</f>
        <v>254550.2</v>
      </c>
      <c r="G135" s="143"/>
      <c r="H135" s="143"/>
    </row>
    <row r="136" spans="1:16">
      <c r="B136" s="118"/>
      <c r="G136" s="143"/>
      <c r="H136" s="143"/>
    </row>
    <row r="137" spans="1:16">
      <c r="A137" s="68" t="s">
        <v>187</v>
      </c>
      <c r="B137" s="335" t="s">
        <v>118</v>
      </c>
      <c r="C137" s="335"/>
      <c r="D137" s="335"/>
      <c r="G137" s="335" t="s">
        <v>119</v>
      </c>
      <c r="H137" s="335"/>
      <c r="I137" s="335"/>
    </row>
    <row r="139" spans="1:16" s="69" customFormat="1">
      <c r="A139" s="70" t="s">
        <v>188</v>
      </c>
      <c r="B139" s="122">
        <f>+B90</f>
        <v>45000</v>
      </c>
      <c r="G139" s="79">
        <f>G82</f>
        <v>52200</v>
      </c>
      <c r="H139" s="70"/>
      <c r="I139" s="70"/>
      <c r="J139" s="70"/>
      <c r="K139" s="70"/>
      <c r="L139" s="68"/>
      <c r="M139" s="70"/>
      <c r="N139" s="70"/>
      <c r="O139" s="70"/>
      <c r="P139" s="70"/>
    </row>
    <row r="140" spans="1:16" s="69" customFormat="1">
      <c r="A140" s="70" t="s">
        <v>189</v>
      </c>
      <c r="B140" s="122"/>
      <c r="G140" s="70"/>
      <c r="H140" s="70"/>
      <c r="I140" s="70"/>
      <c r="J140" s="70"/>
      <c r="K140" s="70"/>
      <c r="L140" s="68"/>
      <c r="M140" s="70"/>
      <c r="N140" s="70"/>
      <c r="O140" s="70"/>
      <c r="P140" s="70"/>
    </row>
    <row r="141" spans="1:16" s="69" customFormat="1">
      <c r="A141" s="70" t="s">
        <v>190</v>
      </c>
      <c r="B141" s="122">
        <f>D79*B82</f>
        <v>8600.0500000000011</v>
      </c>
      <c r="G141" s="79">
        <f>I79*F82</f>
        <v>5850</v>
      </c>
      <c r="H141" s="70"/>
      <c r="I141" s="70"/>
      <c r="J141" s="70"/>
      <c r="K141" s="70"/>
      <c r="L141" s="68"/>
      <c r="M141" s="70"/>
      <c r="N141" s="70"/>
      <c r="O141" s="70"/>
      <c r="P141" s="70"/>
    </row>
    <row r="142" spans="1:16" s="69" customFormat="1">
      <c r="A142" s="70" t="s">
        <v>180</v>
      </c>
      <c r="B142" s="122">
        <f>+C95*B82</f>
        <v>-3200</v>
      </c>
      <c r="G142" s="70"/>
      <c r="H142" s="70"/>
      <c r="I142" s="70"/>
      <c r="J142" s="70"/>
      <c r="K142" s="70"/>
      <c r="L142" s="68"/>
      <c r="M142" s="70"/>
      <c r="N142" s="70"/>
      <c r="O142" s="70"/>
      <c r="P142" s="70"/>
    </row>
    <row r="143" spans="1:16" s="69" customFormat="1">
      <c r="A143" s="70"/>
      <c r="B143" s="93">
        <f>SUM(B139:B142)</f>
        <v>50400.05</v>
      </c>
      <c r="G143" s="95">
        <f>SUM(G139:G142)</f>
        <v>58050</v>
      </c>
      <c r="H143" s="70"/>
      <c r="I143" s="70"/>
      <c r="J143" s="70"/>
      <c r="K143" s="70"/>
      <c r="L143" s="68"/>
      <c r="M143" s="70"/>
      <c r="N143" s="70"/>
      <c r="O143" s="70"/>
      <c r="P143" s="70"/>
    </row>
    <row r="147" spans="1:16" s="69" customFormat="1">
      <c r="A147" s="68" t="s">
        <v>468</v>
      </c>
      <c r="B147" s="99"/>
      <c r="G147" s="70"/>
      <c r="H147" s="70"/>
      <c r="I147" s="70"/>
      <c r="J147" s="70"/>
      <c r="K147" s="70"/>
      <c r="L147" s="68"/>
      <c r="M147" s="70"/>
      <c r="N147" s="70"/>
      <c r="O147" s="70"/>
      <c r="P147" s="70"/>
    </row>
    <row r="148" spans="1:16" s="69" customFormat="1">
      <c r="A148" s="70" t="s">
        <v>191</v>
      </c>
      <c r="B148" s="99">
        <f>D72</f>
        <v>15000</v>
      </c>
      <c r="G148" s="70"/>
      <c r="H148" s="70"/>
      <c r="I148" s="70"/>
      <c r="J148" s="70"/>
      <c r="K148" s="70"/>
      <c r="L148" s="68"/>
      <c r="M148" s="70"/>
      <c r="N148" s="70"/>
      <c r="O148" s="70"/>
      <c r="P148" s="70"/>
    </row>
    <row r="149" spans="1:16" s="69" customFormat="1">
      <c r="A149" s="70" t="s">
        <v>186</v>
      </c>
      <c r="B149" s="144">
        <f>B148*B83</f>
        <v>12000</v>
      </c>
      <c r="G149" s="70"/>
      <c r="H149" s="70"/>
      <c r="I149" s="70"/>
      <c r="J149" s="70"/>
      <c r="K149" s="70"/>
      <c r="L149" s="68"/>
      <c r="M149" s="70"/>
      <c r="N149" s="70"/>
      <c r="O149" s="70"/>
      <c r="P149" s="70"/>
    </row>
  </sheetData>
  <mergeCells count="10">
    <mergeCell ref="B111:D111"/>
    <mergeCell ref="G111:I111"/>
    <mergeCell ref="B137:D137"/>
    <mergeCell ref="G137:I137"/>
    <mergeCell ref="B68:D68"/>
    <mergeCell ref="G68:I68"/>
    <mergeCell ref="B81:D81"/>
    <mergeCell ref="G81:I81"/>
    <mergeCell ref="B98:D98"/>
    <mergeCell ref="G98:I9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57"/>
  <sheetViews>
    <sheetView topLeftCell="A139" workbookViewId="0">
      <selection activeCell="F32" sqref="F32"/>
    </sheetView>
  </sheetViews>
  <sheetFormatPr defaultRowHeight="14.25"/>
  <cols>
    <col min="1" max="1" width="62.875" customWidth="1"/>
    <col min="2" max="2" width="17.75" bestFit="1" customWidth="1"/>
    <col min="3" max="3" width="18.75" bestFit="1" customWidth="1"/>
    <col min="4" max="4" width="32.125" bestFit="1" customWidth="1"/>
    <col min="5" max="5" width="7.125" bestFit="1" customWidth="1"/>
    <col min="6" max="8" width="6.75" bestFit="1" customWidth="1"/>
    <col min="9" max="9" width="7.875" bestFit="1" customWidth="1"/>
    <col min="10" max="11" width="6.75" bestFit="1" customWidth="1"/>
    <col min="12" max="15" width="7.75" bestFit="1" customWidth="1"/>
    <col min="16" max="16" width="7.625" bestFit="1" customWidth="1"/>
    <col min="18" max="18" width="36.125" bestFit="1" customWidth="1"/>
    <col min="19" max="19" width="33.25" customWidth="1"/>
    <col min="20" max="20" width="15.5" customWidth="1"/>
    <col min="21" max="21" width="24.125" customWidth="1"/>
    <col min="22" max="22" width="25.5" customWidth="1"/>
    <col min="23" max="23" width="24.25" customWidth="1"/>
    <col min="24" max="24" width="10.375" bestFit="1" customWidth="1"/>
  </cols>
  <sheetData>
    <row r="1" spans="1:25" ht="16.5">
      <c r="A1" s="64" t="s">
        <v>192</v>
      </c>
      <c r="R1" s="65" t="s">
        <v>192</v>
      </c>
    </row>
    <row r="2" spans="1:25" ht="15">
      <c r="A2" t="s">
        <v>193</v>
      </c>
      <c r="R2" s="4" t="s">
        <v>194</v>
      </c>
    </row>
    <row r="3" spans="1:25" ht="15">
      <c r="A3" t="s">
        <v>195</v>
      </c>
      <c r="R3" s="4" t="s">
        <v>195</v>
      </c>
    </row>
    <row r="4" spans="1:25" ht="15">
      <c r="A4" t="s">
        <v>196</v>
      </c>
      <c r="R4" s="4" t="s">
        <v>196</v>
      </c>
    </row>
    <row r="5" spans="1:25" ht="28.9" customHeight="1">
      <c r="B5" s="145" t="s">
        <v>197</v>
      </c>
      <c r="C5" s="145" t="s">
        <v>198</v>
      </c>
      <c r="E5" s="146" t="s">
        <v>199</v>
      </c>
      <c r="F5" s="146" t="s">
        <v>200</v>
      </c>
      <c r="G5" s="146" t="s">
        <v>201</v>
      </c>
      <c r="H5" s="146" t="s">
        <v>202</v>
      </c>
      <c r="I5" s="146" t="s">
        <v>203</v>
      </c>
      <c r="J5" s="146" t="s">
        <v>204</v>
      </c>
      <c r="K5" s="146" t="s">
        <v>205</v>
      </c>
      <c r="L5" s="146" t="s">
        <v>206</v>
      </c>
      <c r="M5" s="146" t="s">
        <v>471</v>
      </c>
      <c r="N5" s="146" t="s">
        <v>207</v>
      </c>
      <c r="O5" s="146" t="s">
        <v>208</v>
      </c>
      <c r="S5" s="147" t="s">
        <v>209</v>
      </c>
      <c r="T5" s="148" t="s">
        <v>210</v>
      </c>
      <c r="U5" s="148" t="s">
        <v>211</v>
      </c>
      <c r="V5" s="148" t="s">
        <v>212</v>
      </c>
      <c r="W5" s="148" t="s">
        <v>213</v>
      </c>
    </row>
    <row r="6" spans="1:25" ht="15">
      <c r="A6" s="255" t="s">
        <v>453</v>
      </c>
      <c r="B6" s="253">
        <v>26440</v>
      </c>
      <c r="C6" s="253">
        <v>0</v>
      </c>
      <c r="D6" s="253">
        <f>B6-C6</f>
        <v>26440</v>
      </c>
      <c r="E6" s="146"/>
      <c r="F6" s="146"/>
      <c r="G6" s="146"/>
      <c r="H6" s="146"/>
      <c r="I6" s="150"/>
      <c r="J6" s="146"/>
      <c r="K6" s="146"/>
      <c r="L6" s="150">
        <f>-B109+B114</f>
        <v>-1925.625</v>
      </c>
      <c r="M6" s="146"/>
      <c r="N6" s="146"/>
      <c r="O6" s="146"/>
      <c r="P6" s="151">
        <f t="shared" ref="P6:P24" si="0">SUM(D6:O6)</f>
        <v>24514.375</v>
      </c>
      <c r="S6" s="147"/>
      <c r="T6" s="148"/>
      <c r="U6" s="148"/>
      <c r="V6" s="148"/>
      <c r="W6" s="148"/>
    </row>
    <row r="7" spans="1:25" ht="15">
      <c r="A7" s="255" t="s">
        <v>454</v>
      </c>
      <c r="B7" s="257">
        <v>20000</v>
      </c>
      <c r="C7" s="257">
        <v>0</v>
      </c>
      <c r="D7" s="257">
        <f>B7-C7</f>
        <v>20000</v>
      </c>
      <c r="I7" s="150">
        <f>-B84-B88</f>
        <v>-4000</v>
      </c>
      <c r="L7" s="150"/>
      <c r="P7" s="151">
        <f t="shared" si="0"/>
        <v>16000</v>
      </c>
      <c r="S7" s="258">
        <f>C8</f>
        <v>36000</v>
      </c>
      <c r="T7" s="258">
        <f>C9</f>
        <v>5400</v>
      </c>
      <c r="U7" s="258">
        <f>C10</f>
        <v>1440</v>
      </c>
      <c r="V7" s="258">
        <f>C11</f>
        <v>11286</v>
      </c>
      <c r="W7" s="258">
        <v>0</v>
      </c>
      <c r="X7" s="232"/>
    </row>
    <row r="8" spans="1:25" ht="29.25">
      <c r="A8" s="152" t="s">
        <v>232</v>
      </c>
      <c r="B8" s="149">
        <v>0</v>
      </c>
      <c r="C8" s="149">
        <v>36000</v>
      </c>
      <c r="D8" s="150">
        <f t="shared" ref="D8:D24" si="1">B8-C8</f>
        <v>-36000</v>
      </c>
      <c r="H8" s="150">
        <f>-B69</f>
        <v>-7200</v>
      </c>
      <c r="P8" s="151">
        <f t="shared" si="0"/>
        <v>-43200</v>
      </c>
      <c r="R8" t="s">
        <v>214</v>
      </c>
      <c r="S8" s="153"/>
      <c r="T8" s="153"/>
      <c r="U8" s="153"/>
      <c r="V8" s="153">
        <f>-P13</f>
        <v>21793.401000626654</v>
      </c>
      <c r="W8" s="153"/>
      <c r="X8" s="149"/>
    </row>
    <row r="9" spans="1:25" ht="15">
      <c r="A9" t="s">
        <v>210</v>
      </c>
      <c r="B9" s="149">
        <v>0</v>
      </c>
      <c r="C9" s="149">
        <v>5400</v>
      </c>
      <c r="D9" s="150">
        <f t="shared" si="1"/>
        <v>-5400</v>
      </c>
      <c r="H9" s="150">
        <f>B70</f>
        <v>5400</v>
      </c>
      <c r="P9" s="151">
        <f t="shared" si="0"/>
        <v>0</v>
      </c>
      <c r="R9" t="s">
        <v>215</v>
      </c>
      <c r="S9" s="153">
        <f>-H8</f>
        <v>7200</v>
      </c>
      <c r="T9" s="153">
        <f>-H9</f>
        <v>-5400</v>
      </c>
      <c r="U9" s="153"/>
      <c r="V9" s="153">
        <f>-H11</f>
        <v>-1800</v>
      </c>
      <c r="W9" s="153"/>
      <c r="X9" s="149"/>
    </row>
    <row r="10" spans="1:25" ht="20.45" customHeight="1">
      <c r="A10" t="s">
        <v>211</v>
      </c>
      <c r="B10" s="149">
        <v>0</v>
      </c>
      <c r="C10" s="149">
        <v>1440</v>
      </c>
      <c r="D10" s="150">
        <f t="shared" si="1"/>
        <v>-1440</v>
      </c>
      <c r="I10" s="150">
        <f>B86</f>
        <v>1440</v>
      </c>
      <c r="P10" s="151">
        <f t="shared" si="0"/>
        <v>0</v>
      </c>
      <c r="R10" t="s">
        <v>216</v>
      </c>
      <c r="S10" s="153"/>
      <c r="T10" s="153"/>
      <c r="U10" s="153"/>
      <c r="V10" s="153">
        <f>-M11</f>
        <v>-1200</v>
      </c>
      <c r="W10" s="153"/>
      <c r="X10" s="149"/>
    </row>
    <row r="11" spans="1:25" ht="27" customHeight="1">
      <c r="A11" t="s">
        <v>212</v>
      </c>
      <c r="B11" s="149">
        <v>0</v>
      </c>
      <c r="C11" s="149">
        <v>11286</v>
      </c>
      <c r="D11" s="150">
        <f t="shared" si="1"/>
        <v>-11286</v>
      </c>
      <c r="H11" s="150">
        <f>+B71</f>
        <v>1800</v>
      </c>
      <c r="M11" s="150">
        <f>+B122</f>
        <v>1200</v>
      </c>
      <c r="N11" s="150"/>
      <c r="O11" s="150"/>
      <c r="P11" s="151">
        <f t="shared" si="0"/>
        <v>-8286</v>
      </c>
      <c r="R11" t="s">
        <v>137</v>
      </c>
      <c r="S11" s="153"/>
      <c r="T11" s="153"/>
      <c r="U11" s="153">
        <f>-I10</f>
        <v>-1440</v>
      </c>
      <c r="V11" s="153"/>
      <c r="W11" s="153"/>
      <c r="X11" s="149"/>
    </row>
    <row r="12" spans="1:25" ht="18" customHeight="1">
      <c r="A12" s="235" t="s">
        <v>217</v>
      </c>
      <c r="B12" s="149">
        <v>0</v>
      </c>
      <c r="C12" s="149">
        <v>0</v>
      </c>
      <c r="D12" s="150">
        <f t="shared" si="1"/>
        <v>0</v>
      </c>
      <c r="E12" s="150">
        <f>-B38</f>
        <v>-764.12582413670316</v>
      </c>
      <c r="G12" s="150"/>
      <c r="P12" s="151">
        <f t="shared" si="0"/>
        <v>-764.12582413670316</v>
      </c>
      <c r="R12" s="154" t="s">
        <v>218</v>
      </c>
      <c r="S12" s="153"/>
      <c r="T12" s="153"/>
      <c r="U12" s="153"/>
      <c r="V12" s="153"/>
      <c r="W12" s="153">
        <f>-E12</f>
        <v>764.12582413670316</v>
      </c>
      <c r="X12" s="149"/>
    </row>
    <row r="13" spans="1:25" ht="15.75" thickBot="1">
      <c r="A13" t="s">
        <v>219</v>
      </c>
      <c r="B13" s="149">
        <v>0</v>
      </c>
      <c r="C13" s="149">
        <f>(2250-1200-450+B107)*1.8</f>
        <v>15120</v>
      </c>
      <c r="D13" s="150">
        <f t="shared" si="1"/>
        <v>-15120</v>
      </c>
      <c r="F13" s="7">
        <f>B45</f>
        <v>242.15245055179776</v>
      </c>
      <c r="G13" s="150">
        <f>-B59</f>
        <v>-7680</v>
      </c>
      <c r="I13" s="150">
        <f>B87+B84</f>
        <v>2560</v>
      </c>
      <c r="J13">
        <f>-B94</f>
        <v>-620</v>
      </c>
      <c r="K13" s="150">
        <f>B103</f>
        <v>163.63636363636351</v>
      </c>
      <c r="L13" s="150">
        <f>-B115+B109</f>
        <v>1925.625</v>
      </c>
      <c r="M13" s="150">
        <f>B123</f>
        <v>400</v>
      </c>
      <c r="N13" s="150">
        <f>-B137-B140</f>
        <v>-2414.8148148148139</v>
      </c>
      <c r="O13" s="150">
        <f>-B145-B153</f>
        <v>-1250</v>
      </c>
      <c r="P13" s="151">
        <f t="shared" si="0"/>
        <v>-21793.401000626654</v>
      </c>
      <c r="R13" t="s">
        <v>220</v>
      </c>
      <c r="S13" s="155"/>
      <c r="T13" s="155"/>
      <c r="U13" s="155"/>
      <c r="V13" s="155">
        <f>-P15</f>
        <v>-6516</v>
      </c>
      <c r="W13" s="155"/>
      <c r="X13" s="149"/>
    </row>
    <row r="14" spans="1:25" ht="15.75" thickTop="1">
      <c r="A14" t="s">
        <v>221</v>
      </c>
      <c r="B14" s="149">
        <v>0</v>
      </c>
      <c r="C14" s="149">
        <v>14400</v>
      </c>
      <c r="D14" s="150">
        <f t="shared" si="1"/>
        <v>-14400</v>
      </c>
      <c r="E14" s="150">
        <f>B37</f>
        <v>764.12582413670316</v>
      </c>
      <c r="F14" s="7">
        <f>-B45</f>
        <v>-242.15245055179776</v>
      </c>
      <c r="G14" s="150"/>
      <c r="P14" s="151">
        <f t="shared" si="0"/>
        <v>-13878.026626415094</v>
      </c>
      <c r="S14" s="150"/>
      <c r="X14" s="151" t="s">
        <v>413</v>
      </c>
      <c r="Y14" s="156"/>
    </row>
    <row r="15" spans="1:25" ht="15">
      <c r="A15" t="s">
        <v>220</v>
      </c>
      <c r="B15" s="149">
        <v>6516</v>
      </c>
      <c r="C15" s="149">
        <v>0</v>
      </c>
      <c r="D15" s="150">
        <f t="shared" si="1"/>
        <v>6516</v>
      </c>
      <c r="P15" s="151">
        <f t="shared" si="0"/>
        <v>6516</v>
      </c>
      <c r="S15" s="151">
        <f>SUM(S7:S14)</f>
        <v>43200</v>
      </c>
      <c r="T15" s="151">
        <f>SUM(T7:T14)</f>
        <v>0</v>
      </c>
      <c r="U15" s="151">
        <f>SUM(U7:U14)</f>
        <v>0</v>
      </c>
      <c r="V15" s="151">
        <f>SUM(V7:V14)</f>
        <v>23563.401000626654</v>
      </c>
      <c r="W15" s="151">
        <f>SUM(W7:W14)</f>
        <v>764.12582413670316</v>
      </c>
    </row>
    <row r="16" spans="1:25" ht="15">
      <c r="A16" t="s">
        <v>442</v>
      </c>
      <c r="B16" s="278">
        <v>0</v>
      </c>
      <c r="C16" s="275">
        <v>3900</v>
      </c>
      <c r="D16" s="150">
        <f t="shared" si="1"/>
        <v>-3900</v>
      </c>
      <c r="G16" s="150"/>
      <c r="P16" s="151">
        <f t="shared" si="0"/>
        <v>-3900</v>
      </c>
      <c r="S16" s="156">
        <f>S29-S15</f>
        <v>0</v>
      </c>
      <c r="T16" s="156"/>
      <c r="U16" s="156"/>
      <c r="V16" s="156">
        <f>V15-S30</f>
        <v>0</v>
      </c>
      <c r="W16" s="156">
        <f>W15-S31</f>
        <v>0</v>
      </c>
    </row>
    <row r="17" spans="1:22" ht="15">
      <c r="A17" t="s">
        <v>222</v>
      </c>
      <c r="B17" s="275">
        <v>4800</v>
      </c>
      <c r="C17" s="278">
        <v>0</v>
      </c>
      <c r="D17" s="150">
        <f t="shared" si="1"/>
        <v>4800</v>
      </c>
      <c r="G17" s="150">
        <f>-(B64-B59)</f>
        <v>-900</v>
      </c>
      <c r="P17" s="151">
        <f t="shared" si="0"/>
        <v>3900</v>
      </c>
      <c r="R17" s="4" t="s">
        <v>223</v>
      </c>
      <c r="S17" s="156"/>
    </row>
    <row r="18" spans="1:22" ht="15">
      <c r="A18" t="s">
        <v>224</v>
      </c>
      <c r="B18" s="149">
        <v>7758</v>
      </c>
      <c r="C18" s="149">
        <v>0</v>
      </c>
      <c r="D18" s="150">
        <f t="shared" si="1"/>
        <v>7758</v>
      </c>
      <c r="J18">
        <f>B94</f>
        <v>620</v>
      </c>
      <c r="P18" s="151">
        <f t="shared" si="0"/>
        <v>8378</v>
      </c>
      <c r="R18" s="4" t="s">
        <v>195</v>
      </c>
      <c r="S18" s="156"/>
      <c r="T18" s="149"/>
      <c r="U18" s="150"/>
    </row>
    <row r="19" spans="1:22" ht="15">
      <c r="A19" t="s">
        <v>225</v>
      </c>
      <c r="B19" s="149">
        <v>9918</v>
      </c>
      <c r="C19" s="149">
        <v>0</v>
      </c>
      <c r="D19" s="150">
        <f t="shared" si="1"/>
        <v>9918</v>
      </c>
      <c r="G19" s="150"/>
      <c r="M19" s="150">
        <f>-B124</f>
        <v>-1600</v>
      </c>
      <c r="N19" s="150">
        <f>B133+B139</f>
        <v>2414.8148148148139</v>
      </c>
      <c r="O19" s="150">
        <f>B153+B145</f>
        <v>1250</v>
      </c>
      <c r="P19" s="151">
        <f t="shared" si="0"/>
        <v>11982.814814814814</v>
      </c>
      <c r="R19" s="4" t="s">
        <v>196</v>
      </c>
      <c r="S19" s="156"/>
      <c r="T19" s="149"/>
      <c r="U19" s="150"/>
    </row>
    <row r="20" spans="1:22" ht="15">
      <c r="A20" t="s">
        <v>226</v>
      </c>
      <c r="B20" s="149">
        <v>0</v>
      </c>
      <c r="C20" s="149">
        <v>0</v>
      </c>
      <c r="D20" s="150"/>
      <c r="G20" s="150">
        <f>B64</f>
        <v>8580</v>
      </c>
      <c r="P20" s="151">
        <f t="shared" si="0"/>
        <v>8580</v>
      </c>
      <c r="S20" s="156"/>
      <c r="T20" s="149"/>
      <c r="U20" s="150"/>
    </row>
    <row r="21" spans="1:22" ht="15">
      <c r="A21" t="s">
        <v>227</v>
      </c>
      <c r="B21" s="149">
        <v>18576</v>
      </c>
      <c r="C21" s="149">
        <v>0</v>
      </c>
      <c r="D21" s="150">
        <f t="shared" si="1"/>
        <v>18576</v>
      </c>
      <c r="P21" s="151">
        <f t="shared" si="0"/>
        <v>18576</v>
      </c>
      <c r="R21" s="4" t="s">
        <v>122</v>
      </c>
      <c r="T21" s="149"/>
      <c r="U21" s="150"/>
    </row>
    <row r="22" spans="1:22" ht="15">
      <c r="A22" t="s">
        <v>228</v>
      </c>
      <c r="B22" s="149">
        <v>0</v>
      </c>
      <c r="C22" s="149">
        <v>2160</v>
      </c>
      <c r="D22" s="150">
        <f t="shared" si="1"/>
        <v>-2160</v>
      </c>
      <c r="K22" s="150">
        <f>-B103</f>
        <v>-163.63636363636351</v>
      </c>
      <c r="P22" s="151">
        <f t="shared" si="0"/>
        <v>-2323.6363636363635</v>
      </c>
      <c r="R22" t="s">
        <v>229</v>
      </c>
      <c r="S22" s="150">
        <f>P7+P6</f>
        <v>40514.375</v>
      </c>
      <c r="T22" s="157">
        <v>1.25</v>
      </c>
      <c r="U22" s="150" t="s">
        <v>93</v>
      </c>
    </row>
    <row r="23" spans="1:22" ht="15">
      <c r="A23" t="s">
        <v>230</v>
      </c>
      <c r="B23" s="278">
        <v>0</v>
      </c>
      <c r="C23" s="149">
        <v>810</v>
      </c>
      <c r="D23" s="150">
        <f t="shared" si="1"/>
        <v>-810</v>
      </c>
      <c r="K23" s="150"/>
      <c r="P23" s="151">
        <f t="shared" si="0"/>
        <v>-810</v>
      </c>
      <c r="R23" s="4" t="s">
        <v>129</v>
      </c>
      <c r="S23" s="151">
        <f>SUM(S22)</f>
        <v>40514.375</v>
      </c>
      <c r="T23" s="157"/>
      <c r="U23" s="150"/>
    </row>
    <row r="24" spans="1:22" ht="15">
      <c r="A24" t="s">
        <v>141</v>
      </c>
      <c r="B24" s="149">
        <v>0</v>
      </c>
      <c r="C24" s="149">
        <v>3492</v>
      </c>
      <c r="D24" s="150">
        <f t="shared" si="1"/>
        <v>-3492</v>
      </c>
      <c r="P24" s="151">
        <f t="shared" si="0"/>
        <v>-3492</v>
      </c>
      <c r="R24" t="s">
        <v>224</v>
      </c>
      <c r="S24" s="150">
        <f>P18</f>
        <v>8378</v>
      </c>
      <c r="T24" s="157">
        <v>0.5</v>
      </c>
      <c r="U24" s="150" t="s">
        <v>93</v>
      </c>
    </row>
    <row r="25" spans="1:22" ht="15">
      <c r="B25" s="158">
        <f>SUM(B6:B24)</f>
        <v>94008</v>
      </c>
      <c r="C25" s="158">
        <f>SUM(C7:C24)</f>
        <v>94008</v>
      </c>
      <c r="D25" s="237">
        <f>SUM(D6:D24)</f>
        <v>0</v>
      </c>
      <c r="E25" s="237">
        <f t="shared" ref="E25:O25" si="2">SUM(E6:E24)</f>
        <v>0</v>
      </c>
      <c r="F25" s="237">
        <f t="shared" si="2"/>
        <v>0</v>
      </c>
      <c r="G25" s="237">
        <f t="shared" si="2"/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237">
        <f t="shared" si="2"/>
        <v>0</v>
      </c>
      <c r="O25" s="237">
        <f t="shared" si="2"/>
        <v>0</v>
      </c>
      <c r="P25" s="159">
        <f>SUM(P6:P24)</f>
        <v>0</v>
      </c>
      <c r="R25" t="s">
        <v>225</v>
      </c>
      <c r="S25" s="150">
        <f>P19</f>
        <v>11982.814814814814</v>
      </c>
      <c r="T25" s="157">
        <v>2</v>
      </c>
      <c r="U25" s="150" t="s">
        <v>93</v>
      </c>
    </row>
    <row r="26" spans="1:22">
      <c r="C26" s="150"/>
      <c r="R26" t="s">
        <v>226</v>
      </c>
      <c r="S26" s="150">
        <f>P20</f>
        <v>8580</v>
      </c>
      <c r="T26" s="157">
        <v>1</v>
      </c>
      <c r="U26" s="150" t="s">
        <v>93</v>
      </c>
    </row>
    <row r="27" spans="1:22" ht="15">
      <c r="A27" s="4" t="s">
        <v>231</v>
      </c>
      <c r="R27" t="s">
        <v>227</v>
      </c>
      <c r="S27" s="150">
        <f>P21</f>
        <v>18576</v>
      </c>
      <c r="T27" s="157">
        <v>0.25</v>
      </c>
      <c r="U27" s="150" t="s">
        <v>93</v>
      </c>
    </row>
    <row r="28" spans="1:22" ht="15">
      <c r="B28" s="275">
        <v>144000</v>
      </c>
      <c r="C28" s="149">
        <v>100</v>
      </c>
      <c r="D28" s="149">
        <f>(B28*C28)/1000</f>
        <v>14400</v>
      </c>
      <c r="R28" s="4" t="s">
        <v>43</v>
      </c>
      <c r="S28" s="151">
        <f>SUM(S24:S27)+S23</f>
        <v>88031.189814814818</v>
      </c>
      <c r="T28" s="157"/>
      <c r="U28" s="151"/>
    </row>
    <row r="29" spans="1:22" ht="16.149999999999999" customHeight="1">
      <c r="B29" s="236">
        <v>0.04</v>
      </c>
      <c r="C29" s="236">
        <v>0.06</v>
      </c>
      <c r="R29" s="152" t="s">
        <v>232</v>
      </c>
      <c r="S29" s="150">
        <f>-P8</f>
        <v>43200</v>
      </c>
      <c r="T29" s="157">
        <v>1</v>
      </c>
      <c r="U29" s="150" t="s">
        <v>93</v>
      </c>
    </row>
    <row r="30" spans="1:22" ht="28.5">
      <c r="B30" s="160" t="s">
        <v>26</v>
      </c>
      <c r="C30" s="147" t="s">
        <v>233</v>
      </c>
      <c r="D30" s="147" t="s">
        <v>234</v>
      </c>
      <c r="R30" s="152" t="s">
        <v>212</v>
      </c>
      <c r="S30" s="150">
        <f>-P11-P13-P15</f>
        <v>23563.401000626654</v>
      </c>
      <c r="T30" s="157">
        <v>6</v>
      </c>
      <c r="U30" s="150" t="s">
        <v>93</v>
      </c>
      <c r="V30" s="145"/>
    </row>
    <row r="31" spans="1:22" ht="28.5">
      <c r="A31">
        <v>2025</v>
      </c>
      <c r="B31" s="149">
        <f>D28*B29</f>
        <v>576</v>
      </c>
      <c r="C31" s="161">
        <f>1.06^-1</f>
        <v>0.94339622641509424</v>
      </c>
      <c r="D31" s="7">
        <f>B31*C31</f>
        <v>543.39622641509425</v>
      </c>
      <c r="R31" s="152" t="s">
        <v>217</v>
      </c>
      <c r="S31" s="150">
        <f>-P12</f>
        <v>764.12582413670316</v>
      </c>
      <c r="T31" s="157">
        <v>1</v>
      </c>
      <c r="U31" s="150" t="s">
        <v>93</v>
      </c>
    </row>
    <row r="32" spans="1:22" ht="15">
      <c r="A32">
        <v>2026</v>
      </c>
      <c r="B32" s="149">
        <f>D28*B29</f>
        <v>576</v>
      </c>
      <c r="C32" s="161">
        <f>1.06^-2</f>
        <v>0.88999644001423983</v>
      </c>
      <c r="D32" s="7">
        <f t="shared" ref="D32:D33" si="3">B32*C32</f>
        <v>512.63794944820211</v>
      </c>
      <c r="R32" s="4" t="s">
        <v>235</v>
      </c>
      <c r="S32" s="151">
        <f>SUM(S29:S31)</f>
        <v>67527.52682476335</v>
      </c>
      <c r="T32" s="157"/>
      <c r="U32" s="150"/>
    </row>
    <row r="33" spans="1:21" ht="15">
      <c r="A33">
        <v>2027</v>
      </c>
      <c r="B33" s="149">
        <f>D28*B29+D28</f>
        <v>14976</v>
      </c>
      <c r="C33" s="161">
        <v>0.84</v>
      </c>
      <c r="D33" s="7">
        <f t="shared" si="3"/>
        <v>12579.84</v>
      </c>
      <c r="R33" s="4" t="s">
        <v>236</v>
      </c>
      <c r="T33" s="157"/>
      <c r="U33" s="150"/>
    </row>
    <row r="34" spans="1:21" ht="15">
      <c r="A34" t="s">
        <v>237</v>
      </c>
      <c r="D34" s="35">
        <f>SUM(D31:D33)</f>
        <v>13635.874175863297</v>
      </c>
      <c r="R34" t="s">
        <v>221</v>
      </c>
      <c r="S34" s="150">
        <f>-P14</f>
        <v>13878.026626415094</v>
      </c>
      <c r="T34" s="157">
        <v>1</v>
      </c>
      <c r="U34" s="150" t="s">
        <v>93</v>
      </c>
    </row>
    <row r="35" spans="1:21" ht="15">
      <c r="B35" s="162"/>
      <c r="R35" s="4" t="s">
        <v>141</v>
      </c>
      <c r="T35" s="157"/>
      <c r="U35" s="151"/>
    </row>
    <row r="36" spans="1:21" ht="15">
      <c r="A36" s="4" t="s">
        <v>238</v>
      </c>
      <c r="R36" t="s">
        <v>141</v>
      </c>
      <c r="S36" s="150">
        <f>-P24</f>
        <v>3492</v>
      </c>
      <c r="T36" s="157">
        <v>0.25</v>
      </c>
      <c r="U36" s="150" t="s">
        <v>93</v>
      </c>
    </row>
    <row r="37" spans="1:21">
      <c r="A37" t="s">
        <v>239</v>
      </c>
      <c r="B37" s="250">
        <f>C14-D34</f>
        <v>764.12582413670316</v>
      </c>
      <c r="R37" t="s">
        <v>228</v>
      </c>
      <c r="S37" s="150">
        <f>-P22</f>
        <v>2323.6363636363635</v>
      </c>
      <c r="T37" s="157">
        <v>0.5</v>
      </c>
      <c r="U37" s="150" t="s">
        <v>93</v>
      </c>
    </row>
    <row r="38" spans="1:21">
      <c r="A38" t="s">
        <v>240</v>
      </c>
      <c r="B38" s="150">
        <f>B37</f>
        <v>764.12582413670316</v>
      </c>
      <c r="R38" t="s">
        <v>230</v>
      </c>
      <c r="S38" s="150">
        <f>-P23</f>
        <v>810</v>
      </c>
      <c r="T38" s="157">
        <v>0.25</v>
      </c>
      <c r="U38" s="150" t="s">
        <v>93</v>
      </c>
    </row>
    <row r="39" spans="1:21" ht="15">
      <c r="R39" s="4" t="s">
        <v>241</v>
      </c>
      <c r="S39" s="151">
        <f>SUM(S34:S38)</f>
        <v>20503.662990051456</v>
      </c>
      <c r="T39" s="163">
        <f>SUM(T22:T38)</f>
        <v>15</v>
      </c>
      <c r="U39" s="151" t="s">
        <v>93</v>
      </c>
    </row>
    <row r="40" spans="1:21" ht="30" customHeight="1">
      <c r="A40" s="164" t="s">
        <v>242</v>
      </c>
      <c r="B40" s="164" t="s">
        <v>243</v>
      </c>
      <c r="C40" s="165" t="s">
        <v>26</v>
      </c>
      <c r="D40" s="164" t="s">
        <v>244</v>
      </c>
      <c r="S40" s="156">
        <f>S39+S32-S28</f>
        <v>0</v>
      </c>
    </row>
    <row r="41" spans="1:21">
      <c r="A41" s="7">
        <f>D34</f>
        <v>13635.874175863297</v>
      </c>
      <c r="B41" s="8">
        <f>A41*C29</f>
        <v>818.15245055179776</v>
      </c>
      <c r="C41">
        <f>-B31</f>
        <v>-576</v>
      </c>
      <c r="D41" s="7">
        <f>A41+B41+C41</f>
        <v>13878.026626415094</v>
      </c>
    </row>
    <row r="43" spans="1:21" ht="15">
      <c r="A43" s="4" t="s">
        <v>238</v>
      </c>
    </row>
    <row r="44" spans="1:21">
      <c r="A44" t="s">
        <v>245</v>
      </c>
      <c r="B44" s="7">
        <f>B41+C41</f>
        <v>242.15245055179776</v>
      </c>
    </row>
    <row r="45" spans="1:21">
      <c r="A45" t="s">
        <v>246</v>
      </c>
      <c r="B45" s="7">
        <f>B41+C41</f>
        <v>242.15245055179776</v>
      </c>
    </row>
    <row r="47" spans="1:21" ht="15">
      <c r="A47" s="4" t="s">
        <v>247</v>
      </c>
    </row>
    <row r="49" spans="1:6">
      <c r="A49" t="s">
        <v>248</v>
      </c>
      <c r="B49" s="149">
        <v>26000</v>
      </c>
    </row>
    <row r="50" spans="1:6">
      <c r="A50" t="s">
        <v>222</v>
      </c>
      <c r="B50" s="275">
        <v>-4800</v>
      </c>
    </row>
    <row r="51" spans="1:6">
      <c r="A51" t="s">
        <v>249</v>
      </c>
      <c r="B51" s="275">
        <v>-5200</v>
      </c>
    </row>
    <row r="52" spans="1:6" ht="15">
      <c r="A52" s="4" t="s">
        <v>250</v>
      </c>
      <c r="B52" s="158">
        <f>SUM(B49:B51)</f>
        <v>16000</v>
      </c>
    </row>
    <row r="54" spans="1:6">
      <c r="A54" t="s">
        <v>251</v>
      </c>
      <c r="B54" s="276">
        <v>0.48</v>
      </c>
    </row>
    <row r="56" spans="1:6">
      <c r="A56" t="s">
        <v>252</v>
      </c>
    </row>
    <row r="57" spans="1:6">
      <c r="A57" t="s">
        <v>91</v>
      </c>
      <c r="B57" s="150">
        <f>B49*B54</f>
        <v>12480</v>
      </c>
    </row>
    <row r="58" spans="1:6">
      <c r="A58" t="s">
        <v>253</v>
      </c>
      <c r="B58" s="150">
        <f>(B50+B51)*B54</f>
        <v>-4800</v>
      </c>
      <c r="C58" s="254"/>
      <c r="E58" s="225"/>
    </row>
    <row r="59" spans="1:6" ht="15">
      <c r="A59" s="4" t="s">
        <v>254</v>
      </c>
      <c r="B59" s="151">
        <f>SUM(B57:B58)</f>
        <v>7680</v>
      </c>
    </row>
    <row r="61" spans="1:6">
      <c r="F61" s="150"/>
    </row>
    <row r="62" spans="1:6">
      <c r="A62" t="s">
        <v>91</v>
      </c>
      <c r="B62" s="150">
        <f>B57</f>
        <v>12480</v>
      </c>
    </row>
    <row r="63" spans="1:6">
      <c r="A63" t="s">
        <v>255</v>
      </c>
      <c r="B63" s="277">
        <f>-C16</f>
        <v>-3900</v>
      </c>
      <c r="F63" s="6"/>
    </row>
    <row r="64" spans="1:6" ht="15">
      <c r="A64" s="4" t="s">
        <v>256</v>
      </c>
      <c r="B64" s="151">
        <f>SUM(B62:B63)</f>
        <v>8580</v>
      </c>
      <c r="C64" s="150"/>
    </row>
    <row r="67" spans="1:5" ht="15">
      <c r="A67" s="4" t="s">
        <v>257</v>
      </c>
    </row>
    <row r="68" spans="1:5" ht="28.5">
      <c r="A68" s="152" t="s">
        <v>232</v>
      </c>
      <c r="B68" s="150">
        <f>C8</f>
        <v>36000</v>
      </c>
      <c r="D68" s="149"/>
      <c r="E68" s="8"/>
    </row>
    <row r="69" spans="1:5">
      <c r="A69" t="s">
        <v>258</v>
      </c>
      <c r="B69" s="150">
        <f>B68/5*1</f>
        <v>7200</v>
      </c>
      <c r="D69" s="149"/>
    </row>
    <row r="70" spans="1:5">
      <c r="A70" t="s">
        <v>259</v>
      </c>
      <c r="B70" s="150">
        <f>C9</f>
        <v>5400</v>
      </c>
    </row>
    <row r="71" spans="1:5">
      <c r="A71" t="s">
        <v>260</v>
      </c>
      <c r="B71" s="150">
        <f>B69-B70</f>
        <v>1800</v>
      </c>
    </row>
    <row r="73" spans="1:5" ht="15">
      <c r="A73" s="4" t="s">
        <v>455</v>
      </c>
    </row>
    <row r="75" spans="1:5">
      <c r="A75" t="s">
        <v>454</v>
      </c>
      <c r="B75" s="149">
        <f>B7</f>
        <v>20000</v>
      </c>
    </row>
    <row r="76" spans="1:5">
      <c r="A76" t="s">
        <v>261</v>
      </c>
      <c r="B76" s="149">
        <v>25</v>
      </c>
    </row>
    <row r="77" spans="1:5">
      <c r="B77" s="149">
        <f>B75/B76</f>
        <v>800</v>
      </c>
    </row>
    <row r="78" spans="1:5">
      <c r="A78" t="s">
        <v>456</v>
      </c>
      <c r="B78" s="149">
        <f>B75-B77</f>
        <v>19200</v>
      </c>
    </row>
    <row r="79" spans="1:5">
      <c r="A79" t="s">
        <v>262</v>
      </c>
      <c r="B79" s="149">
        <v>16000</v>
      </c>
    </row>
    <row r="80" spans="1:5">
      <c r="B80" s="149">
        <f>B78-B79</f>
        <v>3200</v>
      </c>
    </row>
    <row r="81" spans="1:2">
      <c r="B81" s="149"/>
    </row>
    <row r="82" spans="1:2" ht="15">
      <c r="A82" s="4" t="s">
        <v>238</v>
      </c>
    </row>
    <row r="83" spans="1:2">
      <c r="A83" t="s">
        <v>263</v>
      </c>
      <c r="B83" s="150">
        <f>B77</f>
        <v>800</v>
      </c>
    </row>
    <row r="84" spans="1:2">
      <c r="A84" t="s">
        <v>457</v>
      </c>
      <c r="B84" s="150">
        <f>B83</f>
        <v>800</v>
      </c>
    </row>
    <row r="86" spans="1:2">
      <c r="A86" t="s">
        <v>264</v>
      </c>
      <c r="B86" s="150">
        <f>C10</f>
        <v>1440</v>
      </c>
    </row>
    <row r="87" spans="1:2">
      <c r="A87" t="s">
        <v>265</v>
      </c>
      <c r="B87" s="150">
        <f>B88-B86</f>
        <v>1760</v>
      </c>
    </row>
    <row r="88" spans="1:2">
      <c r="A88" t="s">
        <v>457</v>
      </c>
      <c r="B88" s="150">
        <f>B80</f>
        <v>3200</v>
      </c>
    </row>
    <row r="90" spans="1:2" ht="15">
      <c r="A90" s="4" t="s">
        <v>266</v>
      </c>
    </row>
    <row r="92" spans="1:2" ht="15">
      <c r="A92" s="4" t="s">
        <v>238</v>
      </c>
    </row>
    <row r="93" spans="1:2">
      <c r="A93" t="s">
        <v>267</v>
      </c>
      <c r="B93">
        <v>620</v>
      </c>
    </row>
    <row r="94" spans="1:2">
      <c r="A94" t="s">
        <v>268</v>
      </c>
      <c r="B94">
        <f>B93</f>
        <v>620</v>
      </c>
    </row>
    <row r="96" spans="1:2" ht="15">
      <c r="A96" s="4" t="s">
        <v>269</v>
      </c>
    </row>
    <row r="97" spans="1:5">
      <c r="B97" s="149">
        <v>1500</v>
      </c>
      <c r="C97" s="150"/>
    </row>
    <row r="98" spans="1:5">
      <c r="A98" t="s">
        <v>25</v>
      </c>
      <c r="B98" s="279">
        <f>(1+0.1)^-1</f>
        <v>0.90909090909090906</v>
      </c>
      <c r="E98" s="166"/>
    </row>
    <row r="99" spans="1:5">
      <c r="A99" t="s">
        <v>270</v>
      </c>
      <c r="B99" s="149">
        <f>B97*B98</f>
        <v>1363.6363636363635</v>
      </c>
    </row>
    <row r="100" spans="1:5">
      <c r="A100" t="s">
        <v>271</v>
      </c>
      <c r="B100" s="3">
        <v>1200</v>
      </c>
    </row>
    <row r="101" spans="1:5" ht="15">
      <c r="A101" s="4" t="s">
        <v>238</v>
      </c>
    </row>
    <row r="102" spans="1:5">
      <c r="A102" t="s">
        <v>272</v>
      </c>
      <c r="B102" s="150">
        <f>B103</f>
        <v>163.63636363636351</v>
      </c>
    </row>
    <row r="103" spans="1:5">
      <c r="A103" t="s">
        <v>273</v>
      </c>
      <c r="B103" s="150">
        <f>B99-B100</f>
        <v>163.63636363636351</v>
      </c>
    </row>
    <row r="106" spans="1:5" ht="15">
      <c r="A106" s="4" t="s">
        <v>472</v>
      </c>
    </row>
    <row r="107" spans="1:5">
      <c r="A107" t="s">
        <v>274</v>
      </c>
      <c r="B107" s="149">
        <v>7800</v>
      </c>
    </row>
    <row r="108" spans="1:5" ht="15">
      <c r="A108" s="4" t="s">
        <v>238</v>
      </c>
      <c r="B108" s="149"/>
    </row>
    <row r="109" spans="1:5">
      <c r="A109" t="s">
        <v>275</v>
      </c>
      <c r="B109" s="149">
        <f>B107/12*3</f>
        <v>1950</v>
      </c>
    </row>
    <row r="110" spans="1:5">
      <c r="A110" t="s">
        <v>458</v>
      </c>
    </row>
    <row r="112" spans="1:5" ht="28.5">
      <c r="A112" s="166" t="s">
        <v>276</v>
      </c>
    </row>
    <row r="113" spans="1:4" ht="15">
      <c r="A113" s="4" t="s">
        <v>238</v>
      </c>
    </row>
    <row r="114" spans="1:4">
      <c r="A114" t="s">
        <v>459</v>
      </c>
      <c r="B114" s="149">
        <f>B109/20/12*3</f>
        <v>24.375</v>
      </c>
    </row>
    <row r="115" spans="1:4">
      <c r="A115" t="s">
        <v>277</v>
      </c>
      <c r="B115" s="149">
        <f>B114</f>
        <v>24.375</v>
      </c>
    </row>
    <row r="117" spans="1:4" ht="15">
      <c r="A117" s="4" t="s">
        <v>473</v>
      </c>
      <c r="D117" s="149"/>
    </row>
    <row r="118" spans="1:4" ht="15">
      <c r="A118" s="9" t="s">
        <v>278</v>
      </c>
      <c r="B118" s="149">
        <v>1600</v>
      </c>
      <c r="D118" s="6"/>
    </row>
    <row r="119" spans="1:4">
      <c r="A119" t="s">
        <v>279</v>
      </c>
      <c r="B119" s="149">
        <v>400</v>
      </c>
      <c r="D119" s="157"/>
    </row>
    <row r="120" spans="1:4">
      <c r="A120" t="s">
        <v>280</v>
      </c>
      <c r="B120" s="149">
        <f>B118-B119</f>
        <v>1200</v>
      </c>
    </row>
    <row r="121" spans="1:4" ht="15">
      <c r="A121" s="4" t="s">
        <v>238</v>
      </c>
      <c r="B121" s="149"/>
    </row>
    <row r="122" spans="1:4">
      <c r="A122" t="s">
        <v>281</v>
      </c>
      <c r="B122" s="149">
        <f>B120</f>
        <v>1200</v>
      </c>
    </row>
    <row r="123" spans="1:4">
      <c r="A123" t="s">
        <v>263</v>
      </c>
      <c r="B123" s="149">
        <f>B119</f>
        <v>400</v>
      </c>
    </row>
    <row r="124" spans="1:4">
      <c r="A124" t="s">
        <v>282</v>
      </c>
      <c r="B124" s="150">
        <f>B118</f>
        <v>1600</v>
      </c>
    </row>
    <row r="127" spans="1:4">
      <c r="A127" s="167"/>
    </row>
    <row r="128" spans="1:4" ht="15">
      <c r="A128" s="4" t="s">
        <v>474</v>
      </c>
    </row>
    <row r="129" spans="1:4">
      <c r="A129" t="s">
        <v>283</v>
      </c>
      <c r="B129" s="149">
        <v>5000</v>
      </c>
    </row>
    <row r="130" spans="1:4">
      <c r="A130" t="s">
        <v>25</v>
      </c>
      <c r="B130" s="279">
        <f>1.08^-1</f>
        <v>0.92592592592592582</v>
      </c>
      <c r="C130" s="6">
        <v>0.08</v>
      </c>
    </row>
    <row r="131" spans="1:4">
      <c r="A131" t="s">
        <v>284</v>
      </c>
      <c r="B131" s="149">
        <f>B129*B130</f>
        <v>4629.6296296296287</v>
      </c>
    </row>
    <row r="132" spans="1:4">
      <c r="A132" t="s">
        <v>285</v>
      </c>
      <c r="B132" s="149">
        <v>-2400</v>
      </c>
      <c r="C132" s="8"/>
    </row>
    <row r="133" spans="1:4">
      <c r="A133" t="s">
        <v>286</v>
      </c>
      <c r="B133" s="149">
        <f>B131+B132</f>
        <v>2229.6296296296287</v>
      </c>
    </row>
    <row r="134" spans="1:4">
      <c r="B134" s="149"/>
    </row>
    <row r="135" spans="1:4" ht="15">
      <c r="A135" s="4" t="s">
        <v>238</v>
      </c>
    </row>
    <row r="136" spans="1:4">
      <c r="A136" t="s">
        <v>287</v>
      </c>
      <c r="B136" s="150">
        <f>B133</f>
        <v>2229.6296296296287</v>
      </c>
    </row>
    <row r="137" spans="1:4">
      <c r="A137" t="s">
        <v>288</v>
      </c>
      <c r="B137" s="150">
        <f>B136</f>
        <v>2229.6296296296287</v>
      </c>
    </row>
    <row r="139" spans="1:4">
      <c r="A139" t="s">
        <v>287</v>
      </c>
      <c r="B139" s="150">
        <f>B131*C130*6/12</f>
        <v>185.18518518518513</v>
      </c>
    </row>
    <row r="140" spans="1:4">
      <c r="A140" t="s">
        <v>289</v>
      </c>
      <c r="B140" s="150">
        <f>B139</f>
        <v>185.18518518518513</v>
      </c>
    </row>
    <row r="143" spans="1:4" ht="15">
      <c r="A143" s="4" t="s">
        <v>475</v>
      </c>
    </row>
    <row r="144" spans="1:4">
      <c r="A144" t="s">
        <v>290</v>
      </c>
      <c r="B144" s="149">
        <v>1000</v>
      </c>
      <c r="D144" t="s">
        <v>291</v>
      </c>
    </row>
    <row r="145" spans="1:4">
      <c r="A145" t="s">
        <v>292</v>
      </c>
      <c r="B145" s="149">
        <f>B144/D145</f>
        <v>2000</v>
      </c>
      <c r="C145" s="1">
        <v>45669</v>
      </c>
      <c r="D145">
        <v>0.5</v>
      </c>
    </row>
    <row r="146" spans="1:4">
      <c r="B146" s="149"/>
      <c r="C146" s="168" t="s">
        <v>7</v>
      </c>
      <c r="D146">
        <v>0.8</v>
      </c>
    </row>
    <row r="147" spans="1:4">
      <c r="A147" t="s">
        <v>293</v>
      </c>
      <c r="B147" s="149">
        <f>B144/D146</f>
        <v>1250</v>
      </c>
    </row>
    <row r="148" spans="1:4" ht="15">
      <c r="A148" s="4" t="s">
        <v>476</v>
      </c>
      <c r="B148" s="149"/>
    </row>
    <row r="149" spans="1:4">
      <c r="A149" t="s">
        <v>478</v>
      </c>
      <c r="B149" s="149">
        <f>B145</f>
        <v>2000</v>
      </c>
    </row>
    <row r="150" spans="1:4">
      <c r="A150" t="s">
        <v>268</v>
      </c>
      <c r="B150" s="149">
        <f>B149</f>
        <v>2000</v>
      </c>
    </row>
    <row r="151" spans="1:4" ht="15">
      <c r="A151" s="4"/>
      <c r="B151" s="149"/>
    </row>
    <row r="152" spans="1:4" ht="15">
      <c r="A152" s="4" t="s">
        <v>477</v>
      </c>
      <c r="B152" s="149"/>
    </row>
    <row r="153" spans="1:4">
      <c r="A153" t="s">
        <v>451</v>
      </c>
      <c r="B153" s="232">
        <f>B147-B145</f>
        <v>-750</v>
      </c>
    </row>
    <row r="154" spans="1:4">
      <c r="A154" t="s">
        <v>452</v>
      </c>
      <c r="B154" s="232">
        <f>B147-B145</f>
        <v>-750</v>
      </c>
    </row>
    <row r="156" spans="1:4">
      <c r="A156" s="244"/>
      <c r="B156" s="156"/>
    </row>
    <row r="157" spans="1:4">
      <c r="A157" s="244"/>
      <c r="B157" s="156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9"/>
  <sheetViews>
    <sheetView topLeftCell="A172" zoomScale="93" workbookViewId="0">
      <selection activeCell="A221" sqref="A221"/>
    </sheetView>
  </sheetViews>
  <sheetFormatPr defaultRowHeight="15"/>
  <cols>
    <col min="1" max="1" width="12.875" bestFit="1" customWidth="1"/>
    <col min="2" max="2" width="73.125" bestFit="1" customWidth="1"/>
    <col min="3" max="3" width="22.5" customWidth="1"/>
    <col min="4" max="4" width="46.75" customWidth="1"/>
    <col min="5" max="5" width="14.75" customWidth="1"/>
    <col min="6" max="6" width="36.625" customWidth="1"/>
    <col min="7" max="7" width="10.375" bestFit="1" customWidth="1"/>
    <col min="8" max="8" width="8.875" style="4"/>
  </cols>
  <sheetData>
    <row r="1" spans="1:7">
      <c r="A1" s="4" t="s">
        <v>294</v>
      </c>
    </row>
    <row r="2" spans="1:7">
      <c r="A2" s="4" t="s">
        <v>295</v>
      </c>
    </row>
    <row r="3" spans="1:7">
      <c r="A3" s="4" t="s">
        <v>296</v>
      </c>
    </row>
    <row r="4" spans="1:7">
      <c r="B4" s="169" t="s">
        <v>297</v>
      </c>
    </row>
    <row r="5" spans="1:7">
      <c r="B5" s="170" t="s">
        <v>298</v>
      </c>
    </row>
    <row r="6" spans="1:7">
      <c r="B6" s="9" t="s">
        <v>485</v>
      </c>
      <c r="C6" s="171">
        <f>+C180</f>
        <v>-2259</v>
      </c>
      <c r="D6" s="246"/>
      <c r="E6" s="4">
        <v>0.5</v>
      </c>
      <c r="F6" t="s">
        <v>93</v>
      </c>
    </row>
    <row r="7" spans="1:7">
      <c r="B7" s="170" t="s">
        <v>299</v>
      </c>
      <c r="C7" s="171"/>
      <c r="D7" s="244"/>
      <c r="E7" s="4"/>
    </row>
    <row r="8" spans="1:7">
      <c r="B8" s="172" t="s">
        <v>300</v>
      </c>
      <c r="C8" s="171">
        <f>-(C57+C71)</f>
        <v>11535</v>
      </c>
      <c r="D8" s="246"/>
      <c r="E8" s="4">
        <v>1</v>
      </c>
      <c r="F8" t="s">
        <v>93</v>
      </c>
      <c r="G8" s="7"/>
    </row>
    <row r="9" spans="1:7">
      <c r="B9" s="172" t="s">
        <v>301</v>
      </c>
      <c r="C9" s="171">
        <f>-C53</f>
        <v>-4600</v>
      </c>
      <c r="D9" s="246"/>
      <c r="E9" s="4">
        <v>1</v>
      </c>
      <c r="F9" t="s">
        <v>93</v>
      </c>
      <c r="G9" s="7"/>
    </row>
    <row r="10" spans="1:7">
      <c r="B10" s="172" t="s">
        <v>302</v>
      </c>
      <c r="C10" s="171">
        <f>C104</f>
        <v>-179</v>
      </c>
      <c r="D10" s="246"/>
      <c r="E10" s="4">
        <v>0.5</v>
      </c>
      <c r="F10" t="s">
        <v>93</v>
      </c>
      <c r="G10" s="7"/>
    </row>
    <row r="11" spans="1:7">
      <c r="B11" s="173" t="s">
        <v>303</v>
      </c>
      <c r="C11" s="171">
        <f>D140-C140</f>
        <v>-566</v>
      </c>
      <c r="D11" s="246"/>
      <c r="E11" s="4">
        <v>0.5</v>
      </c>
      <c r="F11" t="s">
        <v>93</v>
      </c>
      <c r="G11" s="7"/>
    </row>
    <row r="12" spans="1:7">
      <c r="B12" s="172" t="s">
        <v>100</v>
      </c>
      <c r="C12" s="171">
        <f>-C178</f>
        <v>-75</v>
      </c>
      <c r="D12" s="246"/>
      <c r="E12" s="4">
        <v>0.5</v>
      </c>
      <c r="F12" t="s">
        <v>93</v>
      </c>
      <c r="G12" s="7"/>
    </row>
    <row r="13" spans="1:7">
      <c r="B13" s="172" t="s">
        <v>304</v>
      </c>
      <c r="C13" s="171">
        <f>-C81</f>
        <v>-300</v>
      </c>
      <c r="D13" s="246"/>
      <c r="E13" s="4">
        <v>0.5</v>
      </c>
      <c r="F13" t="s">
        <v>93</v>
      </c>
      <c r="G13" s="7"/>
    </row>
    <row r="14" spans="1:7">
      <c r="B14" s="172" t="s">
        <v>306</v>
      </c>
      <c r="C14" s="171">
        <f>-C70</f>
        <v>3600</v>
      </c>
      <c r="D14" s="246"/>
      <c r="E14" s="4">
        <v>0.5</v>
      </c>
      <c r="F14" t="s">
        <v>93</v>
      </c>
      <c r="G14" s="7"/>
    </row>
    <row r="15" spans="1:7">
      <c r="B15" s="172" t="s">
        <v>307</v>
      </c>
      <c r="C15" s="171">
        <f>-C177</f>
        <v>491</v>
      </c>
      <c r="D15" s="246"/>
      <c r="E15" s="4">
        <v>0.5</v>
      </c>
      <c r="F15" t="s">
        <v>93</v>
      </c>
      <c r="G15" s="7"/>
    </row>
    <row r="16" spans="1:7">
      <c r="B16" s="172" t="s">
        <v>308</v>
      </c>
      <c r="C16" s="171">
        <f>-C179</f>
        <v>-47</v>
      </c>
      <c r="D16" s="246"/>
      <c r="E16" s="4">
        <v>0.5</v>
      </c>
      <c r="F16" t="s">
        <v>93</v>
      </c>
      <c r="G16" s="7"/>
    </row>
    <row r="17" spans="2:7" ht="30">
      <c r="B17" s="174" t="s">
        <v>309</v>
      </c>
      <c r="C17" s="175">
        <f>SUM(C6:C16)</f>
        <v>7600</v>
      </c>
      <c r="D17" s="246"/>
      <c r="E17" s="4"/>
      <c r="G17" s="7"/>
    </row>
    <row r="18" spans="2:7">
      <c r="B18" s="172"/>
      <c r="D18" s="246"/>
      <c r="E18" s="4"/>
      <c r="G18" s="7"/>
    </row>
    <row r="19" spans="2:7">
      <c r="B19" s="176"/>
      <c r="D19" s="246"/>
      <c r="E19" s="4"/>
      <c r="G19" s="7"/>
    </row>
    <row r="20" spans="2:7">
      <c r="B20" s="172" t="s">
        <v>310</v>
      </c>
      <c r="C20" s="177">
        <f>+D138-C138</f>
        <v>-283</v>
      </c>
      <c r="D20" s="246"/>
      <c r="E20" s="4">
        <v>0.5</v>
      </c>
      <c r="F20" t="s">
        <v>93</v>
      </c>
      <c r="G20" s="7"/>
    </row>
    <row r="21" spans="2:7">
      <c r="B21" s="172" t="s">
        <v>311</v>
      </c>
      <c r="C21" s="177">
        <f>+C87</f>
        <v>-939</v>
      </c>
      <c r="D21" s="246"/>
      <c r="E21" s="4">
        <v>0.5</v>
      </c>
      <c r="F21" t="s">
        <v>93</v>
      </c>
      <c r="G21" s="7"/>
    </row>
    <row r="22" spans="2:7">
      <c r="B22" s="172" t="s">
        <v>312</v>
      </c>
      <c r="C22" s="177">
        <f>+C92-D92</f>
        <v>1476</v>
      </c>
      <c r="D22" s="246"/>
      <c r="E22" s="4">
        <v>0.5</v>
      </c>
      <c r="F22" t="s">
        <v>93</v>
      </c>
      <c r="G22" s="7"/>
    </row>
    <row r="23" spans="2:7">
      <c r="B23" s="170" t="s">
        <v>313</v>
      </c>
      <c r="C23" s="35">
        <f>+SUM(C17:C22)</f>
        <v>7854</v>
      </c>
      <c r="D23" s="35"/>
      <c r="E23" s="4"/>
      <c r="G23" s="7"/>
    </row>
    <row r="24" spans="2:7">
      <c r="B24" s="172" t="s">
        <v>314</v>
      </c>
      <c r="C24" s="7">
        <f>(C177)</f>
        <v>-491</v>
      </c>
      <c r="D24" s="246"/>
      <c r="E24" s="4">
        <v>0.5</v>
      </c>
      <c r="F24" t="s">
        <v>93</v>
      </c>
      <c r="G24" s="7"/>
    </row>
    <row r="25" spans="2:7">
      <c r="B25" s="172" t="s">
        <v>315</v>
      </c>
      <c r="C25" s="7">
        <f>-F123</f>
        <v>0</v>
      </c>
      <c r="D25" s="246"/>
      <c r="E25" s="4">
        <v>1</v>
      </c>
      <c r="F25" t="s">
        <v>93</v>
      </c>
      <c r="G25" s="7"/>
    </row>
    <row r="26" spans="2:7">
      <c r="B26" s="172" t="s">
        <v>316</v>
      </c>
      <c r="C26" s="7">
        <f>C112</f>
        <v>-2547</v>
      </c>
      <c r="D26" s="246"/>
      <c r="E26" s="4">
        <v>1</v>
      </c>
      <c r="F26" t="s">
        <v>93</v>
      </c>
      <c r="G26" s="7"/>
    </row>
    <row r="27" spans="2:7">
      <c r="B27" s="170" t="s">
        <v>317</v>
      </c>
      <c r="C27" s="35">
        <f>SUM(C23:C26)</f>
        <v>4816</v>
      </c>
      <c r="D27" s="35"/>
      <c r="E27" s="4"/>
      <c r="G27" s="7"/>
    </row>
    <row r="28" spans="2:7">
      <c r="B28" s="172"/>
      <c r="D28" s="246"/>
      <c r="E28" s="4"/>
      <c r="G28" s="7"/>
    </row>
    <row r="29" spans="2:7">
      <c r="B29" s="170" t="s">
        <v>318</v>
      </c>
      <c r="D29" s="246"/>
      <c r="E29" s="4"/>
      <c r="G29" s="7"/>
    </row>
    <row r="30" spans="2:7">
      <c r="B30" s="178" t="s">
        <v>319</v>
      </c>
      <c r="C30" s="7">
        <f>C178</f>
        <v>75</v>
      </c>
      <c r="D30" s="246"/>
      <c r="E30" s="4">
        <v>0.5</v>
      </c>
      <c r="F30" t="s">
        <v>93</v>
      </c>
      <c r="G30" s="7"/>
    </row>
    <row r="31" spans="2:7">
      <c r="B31" s="178" t="s">
        <v>320</v>
      </c>
      <c r="C31" s="179">
        <f>C52</f>
        <v>12000</v>
      </c>
      <c r="D31" s="246"/>
      <c r="E31" s="4">
        <v>0.5</v>
      </c>
      <c r="F31" t="s">
        <v>93</v>
      </c>
      <c r="G31" s="7"/>
    </row>
    <row r="32" spans="2:7">
      <c r="B32" s="178" t="s">
        <v>321</v>
      </c>
      <c r="C32" s="285">
        <f>-C64</f>
        <v>-3589.0000000000146</v>
      </c>
      <c r="D32" s="284"/>
      <c r="E32" s="4">
        <v>3</v>
      </c>
      <c r="F32" t="s">
        <v>93</v>
      </c>
      <c r="G32" s="7"/>
    </row>
    <row r="33" spans="2:9">
      <c r="B33" s="178" t="s">
        <v>322</v>
      </c>
      <c r="C33" s="171">
        <f>-C73</f>
        <v>-2473</v>
      </c>
      <c r="D33" s="246"/>
      <c r="E33" s="4">
        <v>1.5</v>
      </c>
      <c r="F33" t="s">
        <v>93</v>
      </c>
      <c r="G33" s="7"/>
    </row>
    <row r="34" spans="2:9">
      <c r="B34" s="178" t="s">
        <v>323</v>
      </c>
      <c r="C34" s="171">
        <f>-C78</f>
        <v>-1400</v>
      </c>
      <c r="D34" s="246"/>
      <c r="E34" s="4">
        <v>1.5</v>
      </c>
      <c r="F34" t="s">
        <v>93</v>
      </c>
      <c r="G34" s="7"/>
    </row>
    <row r="35" spans="2:9">
      <c r="B35" s="178"/>
      <c r="C35" s="171"/>
      <c r="D35" s="246"/>
      <c r="E35" s="4"/>
      <c r="G35" s="7"/>
    </row>
    <row r="36" spans="2:9">
      <c r="B36" s="170" t="s">
        <v>324</v>
      </c>
      <c r="C36" s="35">
        <f>SUM(C30:C34)</f>
        <v>4612.9999999999854</v>
      </c>
      <c r="D36" s="35"/>
      <c r="E36" s="4"/>
      <c r="G36" s="7"/>
    </row>
    <row r="37" spans="2:9">
      <c r="B37" s="170"/>
      <c r="D37" s="246"/>
      <c r="E37" s="4"/>
      <c r="G37" s="7"/>
    </row>
    <row r="38" spans="2:9">
      <c r="B38" s="170" t="s">
        <v>325</v>
      </c>
      <c r="D38" s="246"/>
      <c r="E38" s="4"/>
      <c r="G38" s="7"/>
    </row>
    <row r="39" spans="2:9">
      <c r="B39" s="172" t="s">
        <v>326</v>
      </c>
      <c r="C39" s="171">
        <f>+C120+D120</f>
        <v>0</v>
      </c>
      <c r="D39" s="246"/>
      <c r="E39" s="4">
        <v>0.5</v>
      </c>
      <c r="F39" t="s">
        <v>93</v>
      </c>
      <c r="G39" s="7"/>
    </row>
    <row r="40" spans="2:9">
      <c r="B40" s="172" t="s">
        <v>327</v>
      </c>
      <c r="C40" s="171">
        <f>C97</f>
        <v>-745</v>
      </c>
      <c r="D40" s="246"/>
      <c r="E40" s="4">
        <v>0.5</v>
      </c>
      <c r="F40" t="s">
        <v>93</v>
      </c>
      <c r="G40" s="7"/>
    </row>
    <row r="41" spans="2:9">
      <c r="B41" s="172" t="s">
        <v>328</v>
      </c>
      <c r="C41" s="171">
        <f>C155-D155</f>
        <v>-7547</v>
      </c>
      <c r="D41" s="246"/>
      <c r="E41" s="4">
        <v>0.5</v>
      </c>
      <c r="F41" t="s">
        <v>93</v>
      </c>
      <c r="G41" s="7"/>
    </row>
    <row r="42" spans="2:9">
      <c r="B42" s="172" t="s">
        <v>329</v>
      </c>
      <c r="C42" s="171">
        <f>+C154-D154</f>
        <v>1509</v>
      </c>
      <c r="D42" s="246"/>
      <c r="E42" s="4">
        <v>0.5</v>
      </c>
      <c r="F42" t="s">
        <v>93</v>
      </c>
      <c r="G42" s="7"/>
    </row>
    <row r="43" spans="2:9">
      <c r="B43" s="170" t="s">
        <v>330</v>
      </c>
      <c r="C43" s="35">
        <f>SUM(C39:C42)</f>
        <v>-6783</v>
      </c>
      <c r="D43" s="246"/>
      <c r="E43" s="4"/>
      <c r="G43" s="7"/>
    </row>
    <row r="44" spans="2:9">
      <c r="B44" s="170"/>
      <c r="D44" s="246"/>
      <c r="E44" s="4"/>
      <c r="G44" s="7"/>
    </row>
    <row r="45" spans="2:9">
      <c r="B45" s="170" t="s">
        <v>331</v>
      </c>
      <c r="C45" s="35">
        <f>+C43+C36+C27</f>
        <v>2645.9999999999854</v>
      </c>
      <c r="D45" s="35"/>
      <c r="E45" s="4"/>
      <c r="G45" s="7"/>
    </row>
    <row r="46" spans="2:9">
      <c r="B46" s="172" t="s">
        <v>332</v>
      </c>
      <c r="C46" s="7">
        <f>-C16-C86</f>
        <v>5</v>
      </c>
      <c r="D46" s="246"/>
      <c r="E46" s="4">
        <v>0.5</v>
      </c>
      <c r="F46" t="s">
        <v>93</v>
      </c>
      <c r="G46" s="7"/>
    </row>
    <row r="47" spans="2:9">
      <c r="B47" s="174" t="s">
        <v>333</v>
      </c>
      <c r="C47" s="35">
        <f>-D160</f>
        <v>-1038</v>
      </c>
      <c r="D47" s="246"/>
      <c r="E47" s="4">
        <v>0.5</v>
      </c>
      <c r="F47" t="s">
        <v>93</v>
      </c>
      <c r="G47" s="7"/>
    </row>
    <row r="48" spans="2:9">
      <c r="B48" s="174" t="s">
        <v>334</v>
      </c>
      <c r="C48" s="35">
        <f>SUM(C45:C47)</f>
        <v>1612.9999999999854</v>
      </c>
      <c r="D48" s="4" t="s">
        <v>185</v>
      </c>
      <c r="E48" s="4">
        <f>SUM(E6:E47)</f>
        <v>20</v>
      </c>
      <c r="F48" s="4" t="s">
        <v>93</v>
      </c>
      <c r="G48" s="7"/>
      <c r="I48" s="4"/>
    </row>
    <row r="49" spans="1:5">
      <c r="C49" s="211">
        <f>C48-C141</f>
        <v>-1.4551915228366852E-11</v>
      </c>
    </row>
    <row r="50" spans="1:5">
      <c r="C50" s="177"/>
    </row>
    <row r="51" spans="1:5">
      <c r="A51" t="s">
        <v>335</v>
      </c>
      <c r="B51" t="s">
        <v>69</v>
      </c>
    </row>
    <row r="52" spans="1:5">
      <c r="C52" s="3">
        <v>12000</v>
      </c>
    </row>
    <row r="53" spans="1:5">
      <c r="B53" t="s">
        <v>336</v>
      </c>
      <c r="C53" s="3">
        <f>12000-(8600-1200)</f>
        <v>4600</v>
      </c>
    </row>
    <row r="54" spans="1:5">
      <c r="C54" s="3"/>
    </row>
    <row r="55" spans="1:5">
      <c r="B55" s="260" t="s">
        <v>337</v>
      </c>
      <c r="C55" s="3">
        <f>+D133</f>
        <v>29811</v>
      </c>
      <c r="D55" s="7"/>
      <c r="E55" s="177"/>
    </row>
    <row r="56" spans="1:5">
      <c r="B56" s="260" t="s">
        <v>338</v>
      </c>
      <c r="C56" s="3">
        <f>-8600+1200</f>
        <v>-7400</v>
      </c>
      <c r="D56" s="7"/>
      <c r="E56" s="7"/>
    </row>
    <row r="57" spans="1:5">
      <c r="B57" s="260" t="s">
        <v>339</v>
      </c>
      <c r="C57" s="3">
        <f>-D187-1200</f>
        <v>-11300</v>
      </c>
      <c r="D57" s="7"/>
    </row>
    <row r="58" spans="1:5">
      <c r="B58" s="260" t="s">
        <v>340</v>
      </c>
      <c r="C58" s="3">
        <f>+C133</f>
        <v>20000.000000000015</v>
      </c>
      <c r="D58" s="7"/>
    </row>
    <row r="59" spans="1:5">
      <c r="B59" s="260" t="s">
        <v>341</v>
      </c>
      <c r="C59" s="3">
        <v>1500</v>
      </c>
      <c r="D59" s="7"/>
    </row>
    <row r="60" spans="1:5">
      <c r="B60" s="260" t="s">
        <v>342</v>
      </c>
      <c r="C60" s="3">
        <v>1700</v>
      </c>
      <c r="D60" s="246"/>
    </row>
    <row r="61" spans="1:5">
      <c r="B61" s="260" t="s">
        <v>480</v>
      </c>
      <c r="C61" s="3">
        <v>1500</v>
      </c>
      <c r="D61" s="246"/>
    </row>
    <row r="62" spans="1:5">
      <c r="B62" s="260" t="s">
        <v>343</v>
      </c>
      <c r="C62" s="283">
        <f>+C58-(C55+C56+C57+C59+C60+C61)</f>
        <v>4189.0000000000146</v>
      </c>
      <c r="D62" s="246"/>
    </row>
    <row r="63" spans="1:5">
      <c r="B63" s="260"/>
      <c r="C63" s="256"/>
      <c r="D63" s="244"/>
    </row>
    <row r="64" spans="1:5">
      <c r="B64" s="260" t="s">
        <v>344</v>
      </c>
      <c r="C64" s="256">
        <f>+C62+D91-C91</f>
        <v>3589.0000000000146</v>
      </c>
      <c r="D64" s="244"/>
    </row>
    <row r="65" spans="1:4">
      <c r="C65" s="3"/>
      <c r="D65" s="244"/>
    </row>
    <row r="66" spans="1:4">
      <c r="A66" t="s">
        <v>345</v>
      </c>
      <c r="B66" t="s">
        <v>41</v>
      </c>
      <c r="C66" s="7"/>
    </row>
    <row r="67" spans="1:4">
      <c r="C67" s="7"/>
    </row>
    <row r="68" spans="1:4">
      <c r="B68" t="s">
        <v>346</v>
      </c>
      <c r="C68" s="7">
        <f>D135</f>
        <v>6604</v>
      </c>
    </row>
    <row r="69" spans="1:4">
      <c r="B69" t="s">
        <v>305</v>
      </c>
      <c r="C69" s="7">
        <v>2400</v>
      </c>
    </row>
    <row r="70" spans="1:4">
      <c r="B70" t="s">
        <v>306</v>
      </c>
      <c r="C70" s="7">
        <v>-3600</v>
      </c>
    </row>
    <row r="71" spans="1:4">
      <c r="B71" t="s">
        <v>347</v>
      </c>
      <c r="C71" s="7">
        <f>-D191</f>
        <v>-235</v>
      </c>
    </row>
    <row r="72" spans="1:4">
      <c r="B72" t="s">
        <v>348</v>
      </c>
      <c r="C72" s="7">
        <f>C135</f>
        <v>7642</v>
      </c>
    </row>
    <row r="73" spans="1:4">
      <c r="B73" t="s">
        <v>349</v>
      </c>
      <c r="C73" s="35">
        <f>C72-SUM(C68:C71)</f>
        <v>2473</v>
      </c>
    </row>
    <row r="75" spans="1:4">
      <c r="A75" t="s">
        <v>162</v>
      </c>
      <c r="B75" t="s">
        <v>350</v>
      </c>
    </row>
    <row r="77" spans="1:4">
      <c r="B77" t="s">
        <v>351</v>
      </c>
      <c r="C77" s="177">
        <f>D134</f>
        <v>4717</v>
      </c>
    </row>
    <row r="78" spans="1:4">
      <c r="B78" t="s">
        <v>352</v>
      </c>
      <c r="C78">
        <v>1400</v>
      </c>
    </row>
    <row r="79" spans="1:4">
      <c r="B79" t="s">
        <v>353</v>
      </c>
      <c r="C79" s="177">
        <f>-C60</f>
        <v>-1700</v>
      </c>
    </row>
    <row r="80" spans="1:4">
      <c r="B80" t="s">
        <v>354</v>
      </c>
      <c r="C80" s="177">
        <f>C134</f>
        <v>4717</v>
      </c>
    </row>
    <row r="81" spans="1:5">
      <c r="B81" s="11" t="s">
        <v>304</v>
      </c>
      <c r="C81" s="181">
        <f>C80-SUM(C77:C79)</f>
        <v>300</v>
      </c>
    </row>
    <row r="85" spans="1:5">
      <c r="A85" t="s">
        <v>355</v>
      </c>
      <c r="B85" t="s">
        <v>356</v>
      </c>
      <c r="C85" s="7">
        <f>+D139-C139</f>
        <v>-981</v>
      </c>
    </row>
    <row r="86" spans="1:5">
      <c r="B86" t="s">
        <v>357</v>
      </c>
      <c r="C86" s="7">
        <f>C179-5</f>
        <v>42</v>
      </c>
    </row>
    <row r="87" spans="1:5">
      <c r="C87" s="7">
        <f>+C85+C86</f>
        <v>-939</v>
      </c>
    </row>
    <row r="88" spans="1:5">
      <c r="A88" t="s">
        <v>358</v>
      </c>
      <c r="B88" t="s">
        <v>143</v>
      </c>
    </row>
    <row r="89" spans="1:5">
      <c r="C89" s="238" t="s">
        <v>359</v>
      </c>
      <c r="D89" s="238" t="s">
        <v>360</v>
      </c>
    </row>
    <row r="90" spans="1:5">
      <c r="B90" t="s">
        <v>361</v>
      </c>
      <c r="C90" s="177">
        <f>+C164</f>
        <v>7642</v>
      </c>
      <c r="D90" s="3">
        <f>+D164</f>
        <v>5566</v>
      </c>
    </row>
    <row r="91" spans="1:5">
      <c r="B91" t="s">
        <v>362</v>
      </c>
      <c r="C91" s="282">
        <v>800</v>
      </c>
      <c r="D91" s="256">
        <v>200</v>
      </c>
    </row>
    <row r="92" spans="1:5">
      <c r="C92" s="177">
        <f>+C90-C91</f>
        <v>6842</v>
      </c>
      <c r="D92" s="3">
        <f>+D90-D91</f>
        <v>5366</v>
      </c>
      <c r="E92" s="177"/>
    </row>
    <row r="93" spans="1:5">
      <c r="A93" t="s">
        <v>363</v>
      </c>
      <c r="B93" t="s">
        <v>71</v>
      </c>
      <c r="C93" s="177"/>
      <c r="D93" s="177"/>
      <c r="E93" s="8"/>
    </row>
    <row r="94" spans="1:5">
      <c r="C94" s="177"/>
      <c r="D94" s="177"/>
    </row>
    <row r="95" spans="1:5">
      <c r="B95" s="166" t="s">
        <v>364</v>
      </c>
      <c r="C95" s="177">
        <f>D153+D161</f>
        <v>4717</v>
      </c>
      <c r="D95" s="177"/>
    </row>
    <row r="96" spans="1:5">
      <c r="B96" t="s">
        <v>365</v>
      </c>
      <c r="C96" s="177">
        <f>C59</f>
        <v>1500</v>
      </c>
      <c r="D96" s="177"/>
    </row>
    <row r="97" spans="1:9">
      <c r="B97" t="s">
        <v>366</v>
      </c>
      <c r="C97" s="177">
        <f>C98-SUM(C95:C96)</f>
        <v>-745</v>
      </c>
      <c r="D97" s="177"/>
    </row>
    <row r="98" spans="1:9">
      <c r="B98" s="166" t="s">
        <v>367</v>
      </c>
      <c r="C98" s="177">
        <f>C153+C161</f>
        <v>5472</v>
      </c>
      <c r="D98" s="177"/>
    </row>
    <row r="99" spans="1:9">
      <c r="C99" s="177"/>
      <c r="D99" s="177"/>
    </row>
    <row r="100" spans="1:9">
      <c r="A100" t="s">
        <v>368</v>
      </c>
      <c r="B100" t="s">
        <v>369</v>
      </c>
      <c r="C100" s="177"/>
      <c r="D100" s="177"/>
    </row>
    <row r="101" spans="1:9">
      <c r="C101" s="177"/>
      <c r="D101" s="177"/>
    </row>
    <row r="102" spans="1:9">
      <c r="B102" s="166" t="s">
        <v>370</v>
      </c>
      <c r="C102" s="282">
        <f>D156+D162</f>
        <v>2453</v>
      </c>
      <c r="D102" s="177"/>
    </row>
    <row r="103" spans="1:9">
      <c r="B103" t="s">
        <v>365</v>
      </c>
      <c r="C103" s="282">
        <v>1500</v>
      </c>
      <c r="D103" s="177"/>
    </row>
    <row r="104" spans="1:9">
      <c r="B104" t="s">
        <v>366</v>
      </c>
      <c r="C104" s="282">
        <f>C105-SUM(C102:C103)</f>
        <v>-179</v>
      </c>
      <c r="D104" s="245"/>
    </row>
    <row r="105" spans="1:9">
      <c r="B105" s="166" t="s">
        <v>371</v>
      </c>
      <c r="C105" s="177">
        <f>C156+C162</f>
        <v>3774</v>
      </c>
      <c r="D105" s="177"/>
    </row>
    <row r="106" spans="1:9">
      <c r="C106" s="177"/>
      <c r="D106" s="177"/>
    </row>
    <row r="108" spans="1:9" s="4" customFormat="1">
      <c r="A108" t="s">
        <v>372</v>
      </c>
      <c r="B108" t="s">
        <v>316</v>
      </c>
      <c r="C108"/>
      <c r="D108"/>
      <c r="E108"/>
      <c r="F108"/>
      <c r="G108"/>
      <c r="I108"/>
    </row>
    <row r="109" spans="1:9">
      <c r="B109" t="s">
        <v>373</v>
      </c>
      <c r="C109" s="3">
        <f>D163</f>
        <v>2264</v>
      </c>
    </row>
    <row r="110" spans="1:9" s="4" customFormat="1">
      <c r="A110"/>
      <c r="B110" t="s">
        <v>374</v>
      </c>
      <c r="C110" s="3">
        <f>-C181</f>
        <v>-94</v>
      </c>
      <c r="D110"/>
      <c r="E110"/>
      <c r="F110"/>
      <c r="G110"/>
      <c r="I110"/>
    </row>
    <row r="111" spans="1:9" s="4" customFormat="1">
      <c r="A111"/>
      <c r="B111" t="s">
        <v>375</v>
      </c>
      <c r="C111" s="3">
        <f>+D157-C157</f>
        <v>566</v>
      </c>
      <c r="D111"/>
      <c r="E111"/>
      <c r="F111"/>
      <c r="G111"/>
      <c r="I111"/>
    </row>
    <row r="112" spans="1:9" s="4" customFormat="1">
      <c r="A112"/>
      <c r="B112" t="s">
        <v>316</v>
      </c>
      <c r="C112" s="66">
        <f>C113-SUM(C109:C111)</f>
        <v>-2547</v>
      </c>
      <c r="D112"/>
      <c r="E112"/>
      <c r="F112"/>
      <c r="G112"/>
      <c r="I112"/>
    </row>
    <row r="113" spans="1:9">
      <c r="B113" t="s">
        <v>376</v>
      </c>
      <c r="C113" s="3">
        <f>C163</f>
        <v>189</v>
      </c>
    </row>
    <row r="114" spans="1:9">
      <c r="C114" s="3"/>
    </row>
    <row r="115" spans="1:9" s="4" customFormat="1">
      <c r="A115" t="s">
        <v>377</v>
      </c>
      <c r="B115" s="182" t="s">
        <v>378</v>
      </c>
      <c r="C115" s="183"/>
      <c r="D115" s="183"/>
      <c r="E115" s="183"/>
      <c r="F115" s="184"/>
      <c r="G115" s="184"/>
      <c r="I115"/>
    </row>
    <row r="116" spans="1:9" s="4" customFormat="1" ht="28.5">
      <c r="A116"/>
      <c r="B116" s="183"/>
      <c r="C116" s="185" t="s">
        <v>379</v>
      </c>
      <c r="D116" s="185" t="s">
        <v>380</v>
      </c>
      <c r="E116" s="186" t="s">
        <v>137</v>
      </c>
      <c r="F116" s="185" t="s">
        <v>138</v>
      </c>
      <c r="G116"/>
      <c r="H116"/>
    </row>
    <row r="117" spans="1:9" s="4" customFormat="1">
      <c r="A117"/>
      <c r="B117" s="183"/>
      <c r="C117" s="185"/>
      <c r="D117" s="185"/>
      <c r="E117" s="185"/>
      <c r="F117" s="185"/>
      <c r="G117"/>
      <c r="H117"/>
    </row>
    <row r="118" spans="1:9" s="4" customFormat="1">
      <c r="A118"/>
      <c r="B118" s="187" t="s">
        <v>381</v>
      </c>
      <c r="C118" s="185">
        <f>+D146</f>
        <v>22642</v>
      </c>
      <c r="D118" s="185">
        <f>+D147</f>
        <v>9434</v>
      </c>
      <c r="E118" s="185">
        <f>D148</f>
        <v>3019</v>
      </c>
      <c r="F118" s="185">
        <f>+D149</f>
        <v>1604</v>
      </c>
      <c r="G118"/>
      <c r="H118"/>
    </row>
    <row r="119" spans="1:9" s="4" customFormat="1">
      <c r="A119"/>
      <c r="B119" s="188" t="s">
        <v>382</v>
      </c>
      <c r="C119" s="185">
        <f>-D119</f>
        <v>5660.5</v>
      </c>
      <c r="D119" s="7">
        <f>-C118/4</f>
        <v>-5660.5</v>
      </c>
      <c r="E119" s="7"/>
      <c r="F119" s="185"/>
      <c r="G119"/>
      <c r="H119"/>
    </row>
    <row r="120" spans="1:9" s="4" customFormat="1">
      <c r="A120"/>
      <c r="B120" s="188" t="s">
        <v>460</v>
      </c>
      <c r="C120" s="189"/>
      <c r="D120" s="259"/>
      <c r="E120" s="190">
        <v>2400</v>
      </c>
      <c r="F120" s="189">
        <v>0</v>
      </c>
      <c r="G120"/>
      <c r="H120"/>
    </row>
    <row r="121" spans="1:9" s="4" customFormat="1" ht="28.5">
      <c r="A121"/>
      <c r="B121" s="188" t="s">
        <v>479</v>
      </c>
      <c r="C121" s="189"/>
      <c r="D121" s="189"/>
      <c r="E121" s="190">
        <f>-E118</f>
        <v>-3019</v>
      </c>
      <c r="F121" s="190">
        <f>-E121</f>
        <v>3019</v>
      </c>
      <c r="G121"/>
      <c r="H121"/>
    </row>
    <row r="122" spans="1:9" s="4" customFormat="1">
      <c r="A122"/>
      <c r="B122" s="188" t="s">
        <v>383</v>
      </c>
      <c r="C122" s="185"/>
      <c r="D122" s="185"/>
      <c r="E122" s="185"/>
      <c r="F122" s="288">
        <f>+C182</f>
        <v>-2165</v>
      </c>
      <c r="G122" s="244"/>
      <c r="H122"/>
    </row>
    <row r="123" spans="1:9" s="4" customFormat="1">
      <c r="A123"/>
      <c r="B123" s="188" t="s">
        <v>315</v>
      </c>
      <c r="C123" s="190">
        <v>0</v>
      </c>
      <c r="D123" s="190">
        <v>0</v>
      </c>
      <c r="E123" s="190">
        <v>0</v>
      </c>
      <c r="F123" s="190">
        <v>0</v>
      </c>
      <c r="G123"/>
      <c r="H123"/>
    </row>
    <row r="124" spans="1:9" s="4" customFormat="1">
      <c r="A124"/>
      <c r="B124" s="187" t="s">
        <v>384</v>
      </c>
      <c r="C124" s="185">
        <f>+C146</f>
        <v>28302</v>
      </c>
      <c r="D124" s="185">
        <f>+C147</f>
        <v>3774</v>
      </c>
      <c r="E124" s="286">
        <f>C148</f>
        <v>2400</v>
      </c>
      <c r="F124" s="287">
        <f>+C149</f>
        <v>2458</v>
      </c>
      <c r="G124"/>
      <c r="H124"/>
    </row>
    <row r="125" spans="1:9" s="4" customFormat="1">
      <c r="A125"/>
      <c r="B125" s="191"/>
      <c r="C125" s="193">
        <f>C124-SUM(C118:C123)</f>
        <v>-0.5</v>
      </c>
      <c r="D125" s="193">
        <f t="shared" ref="D125:F125" si="0">D124-SUM(D118:D123)</f>
        <v>0.5</v>
      </c>
      <c r="E125" s="192">
        <f t="shared" si="0"/>
        <v>0</v>
      </c>
      <c r="F125" s="193">
        <f t="shared" si="0"/>
        <v>0</v>
      </c>
      <c r="G125" s="194"/>
      <c r="H125" s="194"/>
    </row>
    <row r="126" spans="1:9" s="4" customFormat="1">
      <c r="A126"/>
      <c r="B126" s="195"/>
      <c r="C126"/>
      <c r="D126"/>
      <c r="E126"/>
      <c r="F126"/>
      <c r="G126"/>
      <c r="I126"/>
    </row>
    <row r="128" spans="1:9" s="4" customFormat="1" ht="15.75">
      <c r="A128"/>
      <c r="B128" s="196" t="s">
        <v>385</v>
      </c>
      <c r="C128"/>
      <c r="D128"/>
      <c r="E128"/>
      <c r="F128"/>
      <c r="G128"/>
      <c r="I128"/>
    </row>
    <row r="130" spans="1:9" s="4" customFormat="1" ht="16.5" thickBot="1">
      <c r="A130"/>
      <c r="B130" s="197" t="s">
        <v>296</v>
      </c>
      <c r="C130" s="198" t="s">
        <v>386</v>
      </c>
      <c r="D130" s="198" t="s">
        <v>387</v>
      </c>
      <c r="E130"/>
      <c r="F130"/>
      <c r="G130"/>
      <c r="I130"/>
    </row>
    <row r="131" spans="1:9" s="4" customFormat="1" ht="15.75">
      <c r="A131"/>
      <c r="B131" s="199" t="s">
        <v>67</v>
      </c>
      <c r="C131" s="200"/>
      <c r="D131" s="200"/>
      <c r="E131"/>
      <c r="F131"/>
      <c r="G131"/>
      <c r="I131"/>
    </row>
    <row r="132" spans="1:9" s="4" customFormat="1" ht="15.75">
      <c r="A132"/>
      <c r="B132" s="201"/>
      <c r="C132" s="200"/>
      <c r="D132" s="200"/>
      <c r="E132"/>
      <c r="F132"/>
      <c r="G132"/>
      <c r="I132"/>
    </row>
    <row r="133" spans="1:9" s="4" customFormat="1">
      <c r="A133"/>
      <c r="B133" s="202" t="s">
        <v>69</v>
      </c>
      <c r="C133" s="3">
        <v>20000.000000000015</v>
      </c>
      <c r="D133" s="3">
        <v>29811</v>
      </c>
      <c r="E133"/>
      <c r="F133"/>
      <c r="G133"/>
      <c r="I133"/>
    </row>
    <row r="134" spans="1:9" s="4" customFormat="1">
      <c r="A134"/>
      <c r="B134" s="202" t="s">
        <v>350</v>
      </c>
      <c r="C134" s="3">
        <v>4717</v>
      </c>
      <c r="D134" s="3">
        <v>4717</v>
      </c>
      <c r="E134"/>
      <c r="F134"/>
      <c r="G134"/>
      <c r="I134"/>
    </row>
    <row r="135" spans="1:9" s="4" customFormat="1">
      <c r="A135"/>
      <c r="B135" s="202" t="s">
        <v>41</v>
      </c>
      <c r="C135" s="3">
        <v>7642</v>
      </c>
      <c r="D135" s="3">
        <v>6604</v>
      </c>
      <c r="E135" s="177"/>
      <c r="F135"/>
      <c r="G135"/>
      <c r="I135"/>
    </row>
    <row r="136" spans="1:9" s="4" customFormat="1" ht="15.75">
      <c r="A136"/>
      <c r="B136" s="203" t="s">
        <v>388</v>
      </c>
      <c r="C136" s="204">
        <f>SUM(C133:C135)</f>
        <v>32359.000000000015</v>
      </c>
      <c r="D136" s="204">
        <f>SUM(D133:D135)</f>
        <v>41132</v>
      </c>
      <c r="E136"/>
      <c r="F136"/>
      <c r="G136"/>
      <c r="I136"/>
    </row>
    <row r="137" spans="1:9" s="4" customFormat="1" ht="15.75">
      <c r="A137"/>
      <c r="B137" s="201"/>
      <c r="C137" s="191"/>
      <c r="D137" s="191"/>
      <c r="E137"/>
      <c r="F137"/>
      <c r="G137"/>
      <c r="I137"/>
    </row>
    <row r="138" spans="1:9" s="4" customFormat="1">
      <c r="A138"/>
      <c r="B138" s="205" t="s">
        <v>224</v>
      </c>
      <c r="C138" s="3">
        <v>13208</v>
      </c>
      <c r="D138" s="3">
        <v>12925</v>
      </c>
      <c r="E138"/>
      <c r="F138"/>
      <c r="G138"/>
      <c r="I138"/>
    </row>
    <row r="139" spans="1:9">
      <c r="B139" s="205" t="s">
        <v>389</v>
      </c>
      <c r="C139" s="3">
        <v>5887</v>
      </c>
      <c r="D139" s="3">
        <v>4906</v>
      </c>
    </row>
    <row r="140" spans="1:9">
      <c r="B140" s="205" t="s">
        <v>390</v>
      </c>
      <c r="C140" s="3">
        <v>2830</v>
      </c>
      <c r="D140" s="3">
        <v>2264</v>
      </c>
      <c r="E140" s="206"/>
    </row>
    <row r="141" spans="1:9">
      <c r="B141" s="205" t="s">
        <v>391</v>
      </c>
      <c r="C141" s="3">
        <v>1613</v>
      </c>
      <c r="D141" s="253" t="s">
        <v>392</v>
      </c>
    </row>
    <row r="142" spans="1:9" ht="15.75">
      <c r="B142" s="203" t="s">
        <v>393</v>
      </c>
      <c r="C142" s="204">
        <f>SUM(C138:C141)</f>
        <v>23538</v>
      </c>
      <c r="D142" s="204">
        <f>SUM(D138:D141)</f>
        <v>20095</v>
      </c>
    </row>
    <row r="143" spans="1:9" ht="16.5" thickBot="1">
      <c r="B143" s="207"/>
      <c r="C143" s="208"/>
      <c r="D143" s="208"/>
    </row>
    <row r="144" spans="1:9" ht="16.5" thickBot="1">
      <c r="B144" s="199" t="s">
        <v>43</v>
      </c>
      <c r="C144" s="198">
        <f>+C142+C136</f>
        <v>55897.000000000015</v>
      </c>
      <c r="D144" s="198">
        <f>+D142+D136</f>
        <v>61227</v>
      </c>
    </row>
    <row r="145" spans="2:6" ht="15.75">
      <c r="B145" s="199" t="s">
        <v>378</v>
      </c>
      <c r="C145" s="191"/>
      <c r="D145" s="191"/>
    </row>
    <row r="146" spans="2:6" ht="30">
      <c r="B146" s="202" t="s">
        <v>394</v>
      </c>
      <c r="C146" s="3">
        <v>28302</v>
      </c>
      <c r="D146" s="3">
        <v>22642</v>
      </c>
    </row>
    <row r="147" spans="2:6">
      <c r="B147" s="205" t="s">
        <v>380</v>
      </c>
      <c r="C147" s="3">
        <v>3774</v>
      </c>
      <c r="D147" s="3">
        <v>9434</v>
      </c>
    </row>
    <row r="148" spans="2:6">
      <c r="B148" s="205" t="s">
        <v>137</v>
      </c>
      <c r="C148" s="277">
        <f>0+2400</f>
        <v>2400</v>
      </c>
      <c r="D148" s="3">
        <v>3019</v>
      </c>
    </row>
    <row r="149" spans="2:6">
      <c r="B149" s="205" t="s">
        <v>138</v>
      </c>
      <c r="C149" s="277">
        <f>2458</f>
        <v>2458</v>
      </c>
      <c r="D149" s="3">
        <v>1604</v>
      </c>
    </row>
    <row r="150" spans="2:6" ht="15.75">
      <c r="B150" s="203" t="s">
        <v>235</v>
      </c>
      <c r="C150" s="204">
        <f>SUM(C147:C149)+C146</f>
        <v>36934</v>
      </c>
      <c r="D150" s="204">
        <f>SUM(D147:D149)+D146</f>
        <v>36699</v>
      </c>
    </row>
    <row r="151" spans="2:6" ht="15.75">
      <c r="B151" s="207"/>
      <c r="C151" s="191"/>
      <c r="D151" s="191"/>
    </row>
    <row r="152" spans="2:6" ht="15.75">
      <c r="B152" s="199" t="s">
        <v>68</v>
      </c>
      <c r="C152" s="191"/>
      <c r="D152" s="191"/>
    </row>
    <row r="153" spans="2:6">
      <c r="B153" s="205" t="s">
        <v>71</v>
      </c>
      <c r="C153" s="3">
        <v>3774</v>
      </c>
      <c r="D153" s="3">
        <v>3208</v>
      </c>
      <c r="E153" s="206"/>
    </row>
    <row r="154" spans="2:6">
      <c r="B154" s="205" t="s">
        <v>395</v>
      </c>
      <c r="C154" s="3">
        <v>1509</v>
      </c>
      <c r="D154" s="3">
        <v>0</v>
      </c>
      <c r="E154" s="206"/>
      <c r="F154" s="177"/>
    </row>
    <row r="155" spans="2:6">
      <c r="B155" s="205" t="s">
        <v>396</v>
      </c>
      <c r="C155" s="3">
        <v>0</v>
      </c>
      <c r="D155" s="3">
        <v>7547</v>
      </c>
      <c r="E155" s="206"/>
      <c r="F155" s="177"/>
    </row>
    <row r="156" spans="2:6">
      <c r="B156" s="205" t="s">
        <v>369</v>
      </c>
      <c r="C156" s="3">
        <v>2642</v>
      </c>
      <c r="D156" s="3">
        <v>1698</v>
      </c>
      <c r="E156" s="206"/>
      <c r="F156" s="177"/>
    </row>
    <row r="157" spans="2:6">
      <c r="B157" s="205" t="s">
        <v>397</v>
      </c>
      <c r="C157" s="3">
        <v>377</v>
      </c>
      <c r="D157" s="3">
        <v>943</v>
      </c>
    </row>
    <row r="158" spans="2:6" ht="15.75">
      <c r="B158" s="203" t="s">
        <v>398</v>
      </c>
      <c r="C158" s="209">
        <f>SUM(C153:C157)</f>
        <v>8302</v>
      </c>
      <c r="D158" s="209">
        <f>SUM(D153:D157)</f>
        <v>13396</v>
      </c>
    </row>
    <row r="159" spans="2:6" ht="15.75">
      <c r="B159" s="207"/>
      <c r="C159" s="191"/>
      <c r="D159" s="191"/>
    </row>
    <row r="160" spans="2:6">
      <c r="B160" s="205" t="s">
        <v>399</v>
      </c>
      <c r="C160" s="3">
        <v>0</v>
      </c>
      <c r="D160" s="3">
        <v>1038</v>
      </c>
    </row>
    <row r="161" spans="2:5">
      <c r="B161" s="205" t="s">
        <v>71</v>
      </c>
      <c r="C161" s="3">
        <v>1698</v>
      </c>
      <c r="D161" s="3">
        <v>1509</v>
      </c>
      <c r="E161" s="210"/>
    </row>
    <row r="162" spans="2:5">
      <c r="B162" s="205" t="s">
        <v>369</v>
      </c>
      <c r="C162" s="3">
        <v>1132</v>
      </c>
      <c r="D162" s="3">
        <v>755</v>
      </c>
      <c r="E162" s="210"/>
    </row>
    <row r="163" spans="2:5">
      <c r="B163" s="205" t="s">
        <v>230</v>
      </c>
      <c r="C163" s="3">
        <v>189</v>
      </c>
      <c r="D163" s="3">
        <v>2264</v>
      </c>
    </row>
    <row r="164" spans="2:5">
      <c r="B164" s="205" t="s">
        <v>400</v>
      </c>
      <c r="C164" s="3">
        <v>7642</v>
      </c>
      <c r="D164" s="3">
        <v>5566</v>
      </c>
    </row>
    <row r="165" spans="2:5" ht="15.75">
      <c r="B165" s="203" t="s">
        <v>401</v>
      </c>
      <c r="C165" s="204">
        <f>SUM(C160:C164)</f>
        <v>10661</v>
      </c>
      <c r="D165" s="204">
        <f>SUM(D160:D164)</f>
        <v>11132</v>
      </c>
    </row>
    <row r="166" spans="2:5" ht="16.5" thickBot="1">
      <c r="B166" s="207"/>
      <c r="C166" s="208"/>
      <c r="D166" s="208"/>
    </row>
    <row r="167" spans="2:5" ht="16.5" thickBot="1">
      <c r="B167" s="199" t="s">
        <v>241</v>
      </c>
      <c r="C167" s="198">
        <f>+C165+C158</f>
        <v>18963</v>
      </c>
      <c r="D167" s="198">
        <f>+D165+D158</f>
        <v>24528</v>
      </c>
    </row>
    <row r="168" spans="2:5" ht="16.5" thickBot="1">
      <c r="B168" s="199" t="s">
        <v>402</v>
      </c>
      <c r="C168" s="198">
        <f>+C167+C150</f>
        <v>55897</v>
      </c>
      <c r="D168" s="198">
        <f>+D167+D150</f>
        <v>61227</v>
      </c>
    </row>
    <row r="169" spans="2:5">
      <c r="C169" s="180">
        <f>C168-C144</f>
        <v>0</v>
      </c>
      <c r="D169" s="211">
        <f>D168-D144</f>
        <v>0</v>
      </c>
    </row>
    <row r="170" spans="2:5">
      <c r="C170" s="177"/>
    </row>
    <row r="172" spans="2:5" ht="15.75">
      <c r="B172" s="196" t="s">
        <v>403</v>
      </c>
    </row>
    <row r="173" spans="2:5">
      <c r="B173" s="212"/>
    </row>
    <row r="174" spans="2:5" ht="15.75">
      <c r="B174" s="197" t="s">
        <v>296</v>
      </c>
      <c r="C174" s="213">
        <v>2025</v>
      </c>
    </row>
    <row r="175" spans="2:5" ht="15.75">
      <c r="B175" s="201"/>
      <c r="C175" s="213"/>
    </row>
    <row r="176" spans="2:5" ht="15.75">
      <c r="B176" s="203" t="s">
        <v>404</v>
      </c>
      <c r="C176" s="256">
        <f>511-2401</f>
        <v>-1890</v>
      </c>
    </row>
    <row r="177" spans="2:6">
      <c r="B177" s="205" t="s">
        <v>101</v>
      </c>
      <c r="C177" s="256">
        <v>-491</v>
      </c>
    </row>
    <row r="178" spans="2:6">
      <c r="B178" s="205" t="s">
        <v>100</v>
      </c>
      <c r="C178" s="256">
        <v>75</v>
      </c>
    </row>
    <row r="179" spans="2:6">
      <c r="B179" s="205" t="s">
        <v>405</v>
      </c>
      <c r="C179" s="256">
        <v>47</v>
      </c>
    </row>
    <row r="180" spans="2:6" ht="15.75">
      <c r="B180" s="203" t="s">
        <v>461</v>
      </c>
      <c r="C180" s="280">
        <f>C176+C177+C179+C178</f>
        <v>-2259</v>
      </c>
    </row>
    <row r="181" spans="2:6">
      <c r="B181" s="205" t="s">
        <v>406</v>
      </c>
      <c r="C181" s="256">
        <v>94</v>
      </c>
    </row>
    <row r="182" spans="2:6" ht="15.75">
      <c r="B182" s="203" t="s">
        <v>462</v>
      </c>
      <c r="C182" s="281">
        <f>+C180+C181</f>
        <v>-2165</v>
      </c>
      <c r="D182" s="7"/>
      <c r="E182" s="7"/>
    </row>
    <row r="183" spans="2:6">
      <c r="C183" s="246">
        <f>C180+C181-C182</f>
        <v>0</v>
      </c>
    </row>
    <row r="184" spans="2:6" ht="28.5">
      <c r="B184" s="214" t="s">
        <v>407</v>
      </c>
      <c r="C184" s="215" t="s">
        <v>14</v>
      </c>
      <c r="D184" s="215" t="s">
        <v>408</v>
      </c>
      <c r="E184" s="215" t="s">
        <v>409</v>
      </c>
    </row>
    <row r="185" spans="2:6">
      <c r="B185" t="s">
        <v>411</v>
      </c>
      <c r="C185" s="216">
        <f>D185+E185</f>
        <v>35711</v>
      </c>
      <c r="D185" s="216">
        <f>4400+500+1000</f>
        <v>5900</v>
      </c>
      <c r="E185" s="217">
        <v>29811</v>
      </c>
      <c r="F185" s="211">
        <f>E185-D133</f>
        <v>0</v>
      </c>
    </row>
    <row r="186" spans="2:6" ht="19.899999999999999" customHeight="1">
      <c r="B186" t="s">
        <v>410</v>
      </c>
      <c r="C186" s="218">
        <v>36000</v>
      </c>
      <c r="D186" s="218">
        <v>16000</v>
      </c>
      <c r="E186" s="7">
        <v>20000</v>
      </c>
      <c r="F186" s="211">
        <f>E186-C133</f>
        <v>0</v>
      </c>
    </row>
    <row r="187" spans="2:6" ht="19.899999999999999" customHeight="1">
      <c r="C187" s="218"/>
      <c r="D187" s="252">
        <f>D186-D185</f>
        <v>10100</v>
      </c>
      <c r="E187" s="7"/>
      <c r="F187" s="3"/>
    </row>
    <row r="188" spans="2:6" ht="27" customHeight="1">
      <c r="B188" s="251" t="s">
        <v>412</v>
      </c>
      <c r="C188" s="215" t="s">
        <v>14</v>
      </c>
      <c r="D188" s="215" t="s">
        <v>408</v>
      </c>
      <c r="E188" s="215" t="s">
        <v>409</v>
      </c>
      <c r="F188" s="3"/>
    </row>
    <row r="189" spans="2:6" ht="19.899999999999999" customHeight="1">
      <c r="B189" t="s">
        <v>411</v>
      </c>
      <c r="C189" s="7">
        <f>D189+E189</f>
        <v>7804</v>
      </c>
      <c r="D189" s="218">
        <v>1200</v>
      </c>
      <c r="E189" s="7">
        <v>6604</v>
      </c>
      <c r="F189" s="211">
        <f>E189-D135</f>
        <v>0</v>
      </c>
    </row>
    <row r="190" spans="2:6" ht="19.899999999999999" customHeight="1">
      <c r="B190" t="s">
        <v>410</v>
      </c>
      <c r="C190" s="219">
        <f>E190+D190</f>
        <v>9077</v>
      </c>
      <c r="D190" s="62">
        <v>1435</v>
      </c>
      <c r="E190" s="219">
        <v>7642</v>
      </c>
      <c r="F190" s="211">
        <f>E190-C135</f>
        <v>0</v>
      </c>
    </row>
    <row r="191" spans="2:6" ht="19.899999999999999" customHeight="1">
      <c r="B191" s="182"/>
      <c r="D191" s="35">
        <f>D190-D189</f>
        <v>235</v>
      </c>
    </row>
    <row r="192" spans="2:6" ht="19.899999999999999" customHeight="1">
      <c r="B192" s="182"/>
    </row>
    <row r="193" spans="2:2" ht="19.899999999999999" customHeight="1">
      <c r="B193" s="182"/>
    </row>
    <row r="194" spans="2:2" ht="19.899999999999999" customHeight="1">
      <c r="B194" s="182"/>
    </row>
    <row r="195" spans="2:2" ht="19.899999999999999" customHeight="1">
      <c r="B195" s="182"/>
    </row>
    <row r="196" spans="2:2" ht="19.899999999999999" customHeight="1">
      <c r="B196" s="182"/>
    </row>
    <row r="197" spans="2:2" ht="19.899999999999999" customHeight="1"/>
    <row r="198" spans="2:2" ht="19.899999999999999" customHeight="1"/>
    <row r="199" spans="2:2" ht="19.899999999999999" customHeight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workbookViewId="0">
      <selection activeCell="B25" sqref="B25"/>
    </sheetView>
  </sheetViews>
  <sheetFormatPr defaultRowHeight="14.25"/>
  <cols>
    <col min="1" max="1" width="62.25" customWidth="1"/>
    <col min="2" max="2" width="11.375" style="149" bestFit="1" customWidth="1"/>
    <col min="3" max="3" width="11.375" bestFit="1" customWidth="1"/>
    <col min="4" max="4" width="10.625" bestFit="1" customWidth="1"/>
    <col min="5" max="5" width="11.625" bestFit="1" customWidth="1"/>
    <col min="6" max="6" width="44.125" customWidth="1"/>
    <col min="7" max="7" width="9.625" bestFit="1" customWidth="1"/>
    <col min="8" max="8" width="9.625" customWidth="1"/>
    <col min="9" max="9" width="10" bestFit="1" customWidth="1"/>
  </cols>
  <sheetData>
    <row r="1" spans="1:15" ht="15">
      <c r="A1" s="4" t="s">
        <v>414</v>
      </c>
      <c r="D1" s="149"/>
    </row>
    <row r="2" spans="1:15" ht="28.5">
      <c r="A2" s="220" t="s">
        <v>415</v>
      </c>
      <c r="F2" s="221" t="s">
        <v>416</v>
      </c>
    </row>
    <row r="3" spans="1:15">
      <c r="A3" t="s">
        <v>417</v>
      </c>
    </row>
    <row r="4" spans="1:15" ht="15">
      <c r="B4" s="158">
        <v>2025</v>
      </c>
      <c r="C4" s="4">
        <v>2024</v>
      </c>
    </row>
    <row r="5" spans="1:15" ht="15">
      <c r="A5" s="76" t="s">
        <v>91</v>
      </c>
      <c r="B5" s="149">
        <v>200000</v>
      </c>
      <c r="C5" s="149">
        <v>250000</v>
      </c>
      <c r="D5" s="222"/>
      <c r="G5" s="4">
        <v>2025</v>
      </c>
      <c r="H5" s="249"/>
      <c r="I5" s="4">
        <v>2024</v>
      </c>
    </row>
    <row r="6" spans="1:15">
      <c r="A6" s="76" t="s">
        <v>94</v>
      </c>
      <c r="B6" s="149">
        <f>-175000</f>
        <v>-175000</v>
      </c>
      <c r="C6" s="149">
        <v>-190000</v>
      </c>
      <c r="D6" s="222"/>
      <c r="E6" s="149"/>
    </row>
    <row r="7" spans="1:15" ht="15">
      <c r="A7" s="83" t="s">
        <v>95</v>
      </c>
      <c r="B7" s="158">
        <f>SUM(B5:B6)</f>
        <v>25000</v>
      </c>
      <c r="C7" s="158">
        <f>SUM(C5:C6)</f>
        <v>60000</v>
      </c>
      <c r="D7" s="222"/>
      <c r="E7" s="149"/>
      <c r="F7" t="s">
        <v>418</v>
      </c>
      <c r="G7" s="223">
        <f>B7/B5</f>
        <v>0.125</v>
      </c>
      <c r="H7" s="223"/>
      <c r="I7" s="223">
        <f>C7/C5</f>
        <v>0.24</v>
      </c>
      <c r="J7">
        <v>0.5</v>
      </c>
      <c r="K7" s="223" t="s">
        <v>93</v>
      </c>
      <c r="L7" s="223"/>
      <c r="M7" s="223"/>
    </row>
    <row r="8" spans="1:15">
      <c r="A8" s="76" t="s">
        <v>419</v>
      </c>
      <c r="B8" s="149">
        <f>-29000</f>
        <v>-29000</v>
      </c>
      <c r="C8" s="149">
        <v>-30000</v>
      </c>
      <c r="D8" s="222"/>
      <c r="E8" s="8"/>
      <c r="J8" s="224"/>
      <c r="K8" s="223"/>
      <c r="L8" s="223"/>
      <c r="M8" s="223"/>
    </row>
    <row r="9" spans="1:15" ht="15">
      <c r="A9" s="83" t="s">
        <v>420</v>
      </c>
      <c r="B9" s="158">
        <f>SUM(B7:B8)</f>
        <v>-4000</v>
      </c>
      <c r="C9" s="158">
        <f>SUM(C7:C8)</f>
        <v>30000</v>
      </c>
      <c r="D9" s="242"/>
      <c r="E9" s="222"/>
      <c r="F9" t="s">
        <v>421</v>
      </c>
      <c r="G9" s="223">
        <f>B9/B5</f>
        <v>-0.02</v>
      </c>
      <c r="H9" s="223"/>
      <c r="I9" s="223">
        <f>C9/C5</f>
        <v>0.12</v>
      </c>
      <c r="J9">
        <v>0.5</v>
      </c>
      <c r="K9" s="223" t="s">
        <v>93</v>
      </c>
      <c r="L9" s="223"/>
      <c r="M9" s="223"/>
    </row>
    <row r="10" spans="1:15" ht="27">
      <c r="A10" s="76" t="s">
        <v>422</v>
      </c>
      <c r="B10" s="149">
        <v>-8400</v>
      </c>
      <c r="C10" s="149">
        <v>0</v>
      </c>
      <c r="D10" s="222"/>
      <c r="F10" s="241" t="s">
        <v>423</v>
      </c>
      <c r="G10" s="223">
        <f>B15/B42</f>
        <v>-8.6647727272727279E-2</v>
      </c>
      <c r="H10" s="223"/>
      <c r="I10" s="225">
        <f>C15/B60</f>
        <v>0.14000000000000001</v>
      </c>
      <c r="J10">
        <v>0.5</v>
      </c>
      <c r="K10" s="223" t="s">
        <v>93</v>
      </c>
      <c r="L10" s="222"/>
      <c r="M10" s="222"/>
    </row>
    <row r="11" spans="1:15" ht="15">
      <c r="A11" s="76" t="s">
        <v>424</v>
      </c>
      <c r="B11" s="158">
        <f>SUM(B9:B10)</f>
        <v>-12400</v>
      </c>
      <c r="C11" s="158">
        <f>SUM(C9:C10)</f>
        <v>30000</v>
      </c>
      <c r="D11" s="222"/>
      <c r="F11" t="s">
        <v>425</v>
      </c>
      <c r="G11" s="226">
        <f>B5/B42</f>
        <v>1.4204545454545454</v>
      </c>
      <c r="H11" s="226"/>
      <c r="I11" s="226">
        <f>C5/B60</f>
        <v>1.3888888888888888</v>
      </c>
      <c r="J11">
        <v>0.5</v>
      </c>
      <c r="K11" s="223" t="s">
        <v>93</v>
      </c>
      <c r="L11" s="227"/>
      <c r="M11" s="222"/>
      <c r="N11" s="226"/>
      <c r="O11" s="226"/>
    </row>
    <row r="12" spans="1:15">
      <c r="A12" s="76" t="s">
        <v>101</v>
      </c>
      <c r="B12" s="149">
        <v>-4800</v>
      </c>
      <c r="C12" s="149">
        <v>-3600</v>
      </c>
      <c r="D12" s="222"/>
      <c r="F12" t="s">
        <v>470</v>
      </c>
      <c r="G12" s="228">
        <f>B45/B42</f>
        <v>0.22727272727272727</v>
      </c>
      <c r="H12" s="248"/>
      <c r="I12" s="229">
        <v>0.21</v>
      </c>
      <c r="J12">
        <v>0.5</v>
      </c>
      <c r="K12" s="223" t="s">
        <v>93</v>
      </c>
      <c r="L12" s="222"/>
      <c r="M12" s="222"/>
      <c r="N12" s="227"/>
    </row>
    <row r="13" spans="1:15" ht="15">
      <c r="A13" s="83" t="s">
        <v>426</v>
      </c>
      <c r="B13" s="158">
        <f>SUM(B11:B12)</f>
        <v>-17200</v>
      </c>
      <c r="C13" s="158">
        <f>SUM(C11:C12)</f>
        <v>26400</v>
      </c>
      <c r="D13" s="222"/>
      <c r="J13" s="224"/>
      <c r="K13" s="222"/>
      <c r="L13" s="222"/>
      <c r="M13" s="222"/>
    </row>
    <row r="14" spans="1:15" ht="28.5">
      <c r="A14" s="76" t="s">
        <v>427</v>
      </c>
      <c r="B14" s="149">
        <v>5000</v>
      </c>
      <c r="C14" s="149">
        <v>-1200</v>
      </c>
      <c r="D14" s="222"/>
      <c r="F14" s="166" t="s">
        <v>428</v>
      </c>
      <c r="G14" s="162">
        <f>-B48/B6*365</f>
        <v>56.731428571428566</v>
      </c>
      <c r="H14" s="162"/>
      <c r="I14">
        <v>29</v>
      </c>
      <c r="J14">
        <v>0.5</v>
      </c>
      <c r="K14" s="223" t="s">
        <v>93</v>
      </c>
      <c r="L14" s="230"/>
      <c r="M14" s="230"/>
    </row>
    <row r="15" spans="1:15" ht="29.25">
      <c r="A15" s="83" t="s">
        <v>429</v>
      </c>
      <c r="B15" s="158">
        <f>SUM(B13:B14)</f>
        <v>-12200</v>
      </c>
      <c r="C15" s="158">
        <f>SUM(C13:C14)</f>
        <v>25200</v>
      </c>
      <c r="D15" s="222"/>
      <c r="F15" s="166" t="s">
        <v>430</v>
      </c>
      <c r="G15" s="162">
        <f>B30/B5*365</f>
        <v>32.119999999999997</v>
      </c>
      <c r="H15" s="162"/>
      <c r="I15">
        <v>24</v>
      </c>
      <c r="J15">
        <v>0.5</v>
      </c>
      <c r="K15" s="223" t="s">
        <v>93</v>
      </c>
      <c r="L15" s="230"/>
      <c r="M15" s="230"/>
    </row>
    <row r="16" spans="1:15" ht="15">
      <c r="A16" s="68" t="s">
        <v>431</v>
      </c>
      <c r="C16" s="149"/>
      <c r="D16" s="222"/>
      <c r="F16" s="166" t="s">
        <v>432</v>
      </c>
      <c r="G16" s="162">
        <f>-B29/B6*365</f>
        <v>36.708571428571432</v>
      </c>
      <c r="H16" s="162"/>
      <c r="I16">
        <v>24</v>
      </c>
      <c r="J16">
        <v>0.5</v>
      </c>
      <c r="K16" s="223" t="s">
        <v>93</v>
      </c>
      <c r="L16" s="230"/>
      <c r="M16" s="230"/>
    </row>
    <row r="17" spans="1:11" ht="15">
      <c r="A17" s="76" t="s">
        <v>137</v>
      </c>
      <c r="B17" s="149">
        <v>-36000</v>
      </c>
      <c r="C17" s="149">
        <v>0</v>
      </c>
      <c r="D17" s="222"/>
      <c r="J17" s="4">
        <f>SUM(J7:J16)</f>
        <v>4</v>
      </c>
      <c r="K17" s="231" t="s">
        <v>93</v>
      </c>
    </row>
    <row r="18" spans="1:11" ht="15">
      <c r="A18" s="68" t="s">
        <v>433</v>
      </c>
      <c r="B18" s="158">
        <f>B17+B15</f>
        <v>-48200</v>
      </c>
      <c r="C18" s="158">
        <f>C17+C15</f>
        <v>25200</v>
      </c>
      <c r="D18" s="222"/>
    </row>
    <row r="21" spans="1:11" ht="15">
      <c r="A21" s="68" t="s">
        <v>434</v>
      </c>
    </row>
    <row r="22" spans="1:11" ht="15">
      <c r="B22" s="158" t="s">
        <v>7</v>
      </c>
      <c r="C22" s="4"/>
    </row>
    <row r="23" spans="1:11">
      <c r="A23" s="83" t="s">
        <v>67</v>
      </c>
    </row>
    <row r="24" spans="1:11">
      <c r="A24" s="83" t="s">
        <v>122</v>
      </c>
    </row>
    <row r="25" spans="1:11">
      <c r="A25" s="83" t="s">
        <v>123</v>
      </c>
      <c r="B25" s="149">
        <v>140800</v>
      </c>
    </row>
    <row r="26" spans="1:11" ht="27">
      <c r="A26" s="121" t="s">
        <v>435</v>
      </c>
      <c r="B26" s="149">
        <v>19200</v>
      </c>
    </row>
    <row r="27" spans="1:11" ht="15">
      <c r="A27" s="76"/>
      <c r="B27" s="158">
        <f>SUM(B25:B26)</f>
        <v>160000</v>
      </c>
    </row>
    <row r="28" spans="1:11">
      <c r="A28" s="83" t="s">
        <v>129</v>
      </c>
    </row>
    <row r="29" spans="1:11">
      <c r="A29" s="76" t="s">
        <v>130</v>
      </c>
      <c r="B29" s="149">
        <v>17600</v>
      </c>
    </row>
    <row r="30" spans="1:11">
      <c r="A30" s="76" t="s">
        <v>131</v>
      </c>
      <c r="B30" s="149">
        <v>17600</v>
      </c>
    </row>
    <row r="31" spans="1:11">
      <c r="A31" s="91" t="s">
        <v>436</v>
      </c>
      <c r="B31" s="149">
        <v>4800</v>
      </c>
    </row>
    <row r="32" spans="1:11">
      <c r="A32" s="76" t="s">
        <v>132</v>
      </c>
      <c r="B32" s="149">
        <v>9600</v>
      </c>
      <c r="C32" s="232"/>
      <c r="D32" s="150"/>
    </row>
    <row r="33" spans="1:8" ht="15">
      <c r="A33" s="76"/>
      <c r="B33" s="158">
        <f>SUM(B29:B32)</f>
        <v>49600</v>
      </c>
    </row>
    <row r="34" spans="1:8" ht="15">
      <c r="A34" s="83" t="s">
        <v>43</v>
      </c>
      <c r="B34" s="158">
        <f>B33+B27</f>
        <v>209600</v>
      </c>
    </row>
    <row r="35" spans="1:8">
      <c r="A35" s="76"/>
    </row>
    <row r="36" spans="1:8">
      <c r="A36" s="83" t="s">
        <v>133</v>
      </c>
    </row>
    <row r="37" spans="1:8">
      <c r="A37" s="83" t="s">
        <v>134</v>
      </c>
    </row>
    <row r="38" spans="1:8">
      <c r="A38" s="76" t="s">
        <v>437</v>
      </c>
      <c r="B38" s="149">
        <v>104000</v>
      </c>
      <c r="C38" s="150"/>
      <c r="D38" s="150"/>
    </row>
    <row r="39" spans="1:8">
      <c r="A39" s="76" t="s">
        <v>136</v>
      </c>
      <c r="B39" s="149">
        <v>8000</v>
      </c>
    </row>
    <row r="40" spans="1:8">
      <c r="A40" s="111" t="s">
        <v>137</v>
      </c>
      <c r="B40" s="149">
        <v>0</v>
      </c>
    </row>
    <row r="41" spans="1:8">
      <c r="A41" s="111" t="s">
        <v>138</v>
      </c>
      <c r="B41" s="149">
        <v>28800</v>
      </c>
      <c r="C41" s="150"/>
      <c r="D41" s="150"/>
      <c r="E41" s="150"/>
      <c r="F41" s="150"/>
      <c r="G41" s="150"/>
      <c r="H41" s="150"/>
    </row>
    <row r="42" spans="1:8" ht="15">
      <c r="A42" s="83"/>
      <c r="B42" s="158">
        <f>SUM(B38:B41)</f>
        <v>140800</v>
      </c>
    </row>
    <row r="43" spans="1:8">
      <c r="A43" s="76"/>
    </row>
    <row r="44" spans="1:8">
      <c r="A44" s="83" t="s">
        <v>236</v>
      </c>
    </row>
    <row r="45" spans="1:8">
      <c r="A45" s="116" t="s">
        <v>438</v>
      </c>
      <c r="B45" s="149">
        <v>32000</v>
      </c>
      <c r="C45" s="8"/>
      <c r="D45" s="8"/>
    </row>
    <row r="46" spans="1:8">
      <c r="A46" s="116" t="s">
        <v>397</v>
      </c>
      <c r="B46" s="149">
        <v>9600</v>
      </c>
    </row>
    <row r="47" spans="1:8" ht="15">
      <c r="A47" s="83" t="s">
        <v>141</v>
      </c>
      <c r="B47" s="158">
        <f>SUM(B45:B46)</f>
        <v>41600</v>
      </c>
    </row>
    <row r="48" spans="1:8">
      <c r="A48" s="116" t="s">
        <v>143</v>
      </c>
      <c r="B48" s="149">
        <v>27200</v>
      </c>
    </row>
    <row r="49" spans="1:3" ht="15">
      <c r="A49" s="70"/>
      <c r="B49" s="158">
        <f>SUM(B48)</f>
        <v>27200</v>
      </c>
    </row>
    <row r="50" spans="1:3" ht="15">
      <c r="A50" s="83" t="s">
        <v>144</v>
      </c>
      <c r="B50" s="158">
        <f>B49+B47+B42</f>
        <v>209600</v>
      </c>
    </row>
    <row r="51" spans="1:3" ht="15">
      <c r="A51" s="70"/>
      <c r="B51" s="233">
        <f>B50-B34</f>
        <v>0</v>
      </c>
    </row>
    <row r="54" spans="1:3" ht="15">
      <c r="A54" s="83" t="s">
        <v>133</v>
      </c>
      <c r="B54" s="158" t="s">
        <v>6</v>
      </c>
    </row>
    <row r="55" spans="1:3">
      <c r="A55" s="83" t="s">
        <v>134</v>
      </c>
    </row>
    <row r="56" spans="1:3">
      <c r="A56" s="76" t="s">
        <v>437</v>
      </c>
      <c r="B56" s="149">
        <v>96000</v>
      </c>
    </row>
    <row r="57" spans="1:3">
      <c r="A57" s="76" t="s">
        <v>136</v>
      </c>
      <c r="B57" s="149">
        <v>0</v>
      </c>
    </row>
    <row r="58" spans="1:3">
      <c r="A58" s="111" t="s">
        <v>137</v>
      </c>
      <c r="B58" s="149">
        <v>36000</v>
      </c>
    </row>
    <row r="59" spans="1:3">
      <c r="A59" s="111" t="s">
        <v>138</v>
      </c>
      <c r="B59" s="149">
        <v>48000</v>
      </c>
    </row>
    <row r="60" spans="1:3" ht="15">
      <c r="A60" s="83"/>
      <c r="B60" s="158">
        <f>SUM(B56:B59)</f>
        <v>180000</v>
      </c>
    </row>
    <row r="64" spans="1:3">
      <c r="C64" s="150"/>
    </row>
    <row r="66" spans="3:3">
      <c r="C66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multiple choices 1-5</vt:lpstr>
      <vt:lpstr>multiple choices 6-11</vt:lpstr>
      <vt:lpstr>Խ2-consolidated_reviewed</vt:lpstr>
      <vt:lpstr>Խ3-TB_reviewed</vt:lpstr>
      <vt:lpstr>Խնդիր 4-CF_reviewed</vt:lpstr>
      <vt:lpstr>Խ5-ratio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</dc:creator>
  <cp:lastModifiedBy>Siranush Asatryan</cp:lastModifiedBy>
  <dcterms:created xsi:type="dcterms:W3CDTF">2026-01-10T07:33:51Z</dcterms:created>
  <dcterms:modified xsi:type="dcterms:W3CDTF">2026-03-04T07:24:02Z</dcterms:modified>
</cp:coreProperties>
</file>