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3FAF342C-6453-450C-A9F1-A0C76FAACD88}" xr6:coauthVersionLast="47" xr6:coauthVersionMax="47" xr10:uidLastSave="{00000000-0000-0000-0000-000000000000}"/>
  <bookViews>
    <workbookView xWindow="-108" yWindow="-108" windowWidth="30936" windowHeight="16896" activeTab="3" xr2:uid="{00000000-000D-0000-FFFF-FFFF00000000}"/>
  </bookViews>
  <sheets>
    <sheet name="1 1-9" sheetId="5" r:id="rId1"/>
    <sheet name="1-10" sheetId="4" r:id="rId2"/>
    <sheet name="2" sheetId="2" r:id="rId3"/>
    <sheet name="3" sheetId="1" r:id="rId4"/>
    <sheet name="4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13" i="1"/>
  <c r="C19" i="1" s="1"/>
  <c r="C25" i="1" l="1"/>
  <c r="C31" i="1" s="1"/>
  <c r="C29" i="1" s="1"/>
  <c r="C17" i="1"/>
  <c r="C18" i="1" s="1"/>
  <c r="C24" i="1" l="1"/>
  <c r="C28" i="1" s="1"/>
  <c r="B95" i="2" l="1"/>
  <c r="E82" i="7"/>
  <c r="C19" i="7" s="1"/>
  <c r="M84" i="1" l="1"/>
  <c r="L84" i="1"/>
  <c r="C67" i="7"/>
  <c r="D38" i="5"/>
  <c r="D37" i="5"/>
  <c r="C18" i="7"/>
  <c r="C20" i="7" l="1"/>
  <c r="C53" i="1"/>
  <c r="C57" i="1" s="1"/>
  <c r="D49" i="1"/>
  <c r="C49" i="1" s="1"/>
  <c r="C44" i="1"/>
  <c r="C45" i="1" s="1"/>
  <c r="C5" i="5" l="1"/>
  <c r="B77" i="2" l="1"/>
  <c r="H157" i="7" l="1"/>
  <c r="C142" i="7" l="1"/>
  <c r="E81" i="7" l="1"/>
  <c r="C120" i="7"/>
  <c r="C114" i="7"/>
  <c r="D108" i="7"/>
  <c r="C108" i="7"/>
  <c r="D99" i="7"/>
  <c r="C99" i="7"/>
  <c r="D94" i="7"/>
  <c r="C94" i="7"/>
  <c r="E83" i="7"/>
  <c r="D83" i="7"/>
  <c r="C83" i="7"/>
  <c r="E78" i="7"/>
  <c r="D78" i="7"/>
  <c r="C78" i="7"/>
  <c r="D79" i="7" s="1"/>
  <c r="C72" i="7"/>
  <c r="C71" i="7"/>
  <c r="D59" i="7"/>
  <c r="D61" i="7" s="1"/>
  <c r="C59" i="7"/>
  <c r="C61" i="7" s="1"/>
  <c r="C54" i="7"/>
  <c r="C56" i="7" s="1"/>
  <c r="C15" i="7" s="1"/>
  <c r="C52" i="7"/>
  <c r="C47" i="7"/>
  <c r="C46" i="7"/>
  <c r="C45" i="7"/>
  <c r="C44" i="7"/>
  <c r="C42" i="7"/>
  <c r="C8" i="7" s="1"/>
  <c r="H37" i="7"/>
  <c r="H159" i="7" s="1"/>
  <c r="C36" i="7"/>
  <c r="C31" i="7"/>
  <c r="C30" i="7"/>
  <c r="C14" i="7"/>
  <c r="C10" i="7"/>
  <c r="C9" i="7"/>
  <c r="C7" i="7"/>
  <c r="C5" i="7"/>
  <c r="C16" i="7" l="1"/>
  <c r="D101" i="7"/>
  <c r="C101" i="7"/>
  <c r="C48" i="7"/>
  <c r="C50" i="7" s="1"/>
  <c r="C25" i="7" s="1"/>
  <c r="C26" i="7" s="1"/>
  <c r="C122" i="7"/>
  <c r="C123" i="7" s="1"/>
  <c r="D80" i="7"/>
  <c r="C79" i="7"/>
  <c r="C80" i="7" s="1"/>
  <c r="C11" i="7"/>
  <c r="C17" i="7" l="1"/>
  <c r="C21" i="7" s="1"/>
  <c r="C29" i="7"/>
  <c r="C32" i="7" s="1"/>
  <c r="C34" i="7" l="1"/>
  <c r="C37" i="7" s="1"/>
  <c r="D63" i="5"/>
  <c r="D65" i="5" s="1"/>
  <c r="F62" i="5"/>
  <c r="G62" i="5" s="1"/>
  <c r="G60" i="5"/>
  <c r="F59" i="5"/>
  <c r="G59" i="5" s="1"/>
  <c r="D50" i="5"/>
  <c r="E50" i="5" s="1"/>
  <c r="E49" i="5"/>
  <c r="E46" i="5"/>
  <c r="D46" i="5"/>
  <c r="D39" i="5"/>
  <c r="D29" i="5"/>
  <c r="D31" i="5" s="1"/>
  <c r="D27" i="5"/>
  <c r="D21" i="5"/>
  <c r="D20" i="5"/>
  <c r="C14" i="5"/>
  <c r="C13" i="5"/>
  <c r="C16" i="5" s="1"/>
  <c r="C7" i="5"/>
  <c r="F4" i="5"/>
  <c r="F6" i="5" s="1"/>
  <c r="F61" i="5" l="1"/>
  <c r="G61" i="5" s="1"/>
  <c r="G63" i="5" s="1"/>
  <c r="E53" i="5"/>
  <c r="E55" i="5"/>
  <c r="D53" i="5"/>
  <c r="D55" i="5" s="1"/>
  <c r="F7" i="5"/>
  <c r="F8" i="5" s="1"/>
  <c r="B147" i="2" l="1"/>
  <c r="B132" i="2"/>
  <c r="B127" i="2"/>
  <c r="B128" i="2" s="1"/>
  <c r="B126" i="2"/>
  <c r="B149" i="2" s="1"/>
  <c r="B115" i="2"/>
  <c r="B135" i="2" s="1"/>
  <c r="B113" i="2"/>
  <c r="B104" i="2"/>
  <c r="B99" i="2"/>
  <c r="B140" i="2" s="1"/>
  <c r="B137" i="2"/>
  <c r="B83" i="2"/>
  <c r="B82" i="2"/>
  <c r="B80" i="2"/>
  <c r="B146" i="2" s="1"/>
  <c r="B78" i="2"/>
  <c r="B79" i="2" s="1"/>
  <c r="I71" i="2"/>
  <c r="B67" i="2"/>
  <c r="F66" i="2"/>
  <c r="D66" i="2"/>
  <c r="D67" i="2" s="1"/>
  <c r="G64" i="2"/>
  <c r="F61" i="2"/>
  <c r="G61" i="2" s="1"/>
  <c r="D58" i="2"/>
  <c r="B58" i="2"/>
  <c r="G54" i="2"/>
  <c r="G53" i="2"/>
  <c r="B48" i="2"/>
  <c r="G47" i="2"/>
  <c r="D45" i="2"/>
  <c r="B41" i="2"/>
  <c r="F40" i="2"/>
  <c r="B40" i="2"/>
  <c r="G40" i="2" s="1"/>
  <c r="G38" i="2"/>
  <c r="D37" i="2"/>
  <c r="D42" i="2" s="1"/>
  <c r="G24" i="2"/>
  <c r="G16" i="2"/>
  <c r="F14" i="2"/>
  <c r="G14" i="2" s="1"/>
  <c r="G13" i="2"/>
  <c r="F13" i="2"/>
  <c r="B139" i="2" s="1"/>
  <c r="G11" i="2"/>
  <c r="D8" i="2"/>
  <c r="D15" i="2" s="1"/>
  <c r="D17" i="2" s="1"/>
  <c r="B8" i="2"/>
  <c r="B15" i="2" s="1"/>
  <c r="B17" i="2" s="1"/>
  <c r="B25" i="2" s="1"/>
  <c r="F7" i="2"/>
  <c r="G7" i="2" s="1"/>
  <c r="F6" i="2"/>
  <c r="F8" i="2" s="1"/>
  <c r="C81" i="2" l="1"/>
  <c r="F45" i="2"/>
  <c r="G45" i="2" s="1"/>
  <c r="G6" i="2"/>
  <c r="G8" i="2" s="1"/>
  <c r="B105" i="2"/>
  <c r="B69" i="2"/>
  <c r="F65" i="2"/>
  <c r="D69" i="2"/>
  <c r="B141" i="2"/>
  <c r="C133" i="2"/>
  <c r="D25" i="2"/>
  <c r="B84" i="2"/>
  <c r="C88" i="2" s="1"/>
  <c r="C89" i="2" s="1"/>
  <c r="F12" i="2"/>
  <c r="G12" i="2" s="1"/>
  <c r="B42" i="2"/>
  <c r="B49" i="2" s="1"/>
  <c r="F55" i="2"/>
  <c r="G55" i="2" s="1"/>
  <c r="G66" i="2"/>
  <c r="D48" i="2"/>
  <c r="D49" i="2" s="1"/>
  <c r="F62" i="2"/>
  <c r="G62" i="2" s="1"/>
  <c r="C138" i="2" l="1"/>
  <c r="F10" i="2"/>
  <c r="G65" i="2"/>
  <c r="G67" i="2" s="1"/>
  <c r="F46" i="2"/>
  <c r="G46" i="2" s="1"/>
  <c r="G48" i="2" s="1"/>
  <c r="B106" i="2"/>
  <c r="F37" i="2" s="1"/>
  <c r="G37" i="2" s="1"/>
  <c r="C90" i="2"/>
  <c r="F9" i="2" s="1"/>
  <c r="G9" i="2" s="1"/>
  <c r="G10" i="2" l="1"/>
  <c r="G15" i="2" s="1"/>
  <c r="G17" i="2" s="1"/>
  <c r="C136" i="2"/>
  <c r="C141" i="2" s="1"/>
  <c r="C91" i="2"/>
  <c r="F39" i="2" s="1"/>
  <c r="G39" i="2" s="1"/>
  <c r="G42" i="2" s="1"/>
  <c r="G49" i="2" s="1"/>
  <c r="G19" i="2" l="1"/>
  <c r="G27" i="2" s="1"/>
  <c r="B148" i="2"/>
  <c r="B150" i="2" s="1"/>
  <c r="G57" i="2" s="1"/>
  <c r="B142" i="2"/>
  <c r="B143" i="2" s="1"/>
  <c r="G56" i="2" s="1"/>
  <c r="G25" i="2"/>
  <c r="G58" i="2" l="1"/>
  <c r="G69" i="2" s="1"/>
  <c r="G28" i="2"/>
  <c r="G29" i="2" s="1"/>
  <c r="G20" i="2"/>
</calcChain>
</file>

<file path=xl/sharedStrings.xml><?xml version="1.0" encoding="utf-8"?>
<sst xmlns="http://schemas.openxmlformats.org/spreadsheetml/2006/main" count="457" uniqueCount="331">
  <si>
    <t>դեբիտորական պարտքերի Ֆակտորինգ</t>
  </si>
  <si>
    <t xml:space="preserve">ա) Սա ֆակտորինգ է էական ռիսկերն ու հատույցների ստացման կիրավունքի պահպանմամբ </t>
  </si>
  <si>
    <t>Եթե փոխանցումը չի հանգեցնում ապաճանաչման, քանի որ կազմակերպությունը պահպանել է փոխանցված ակտիվի սեփականության հետ կապված, ըստ էության, բոլոր ռիսկերն ու հատույցները, կազմակերպությունը պետք է շարունակի փոխանցված ակտիվն ամբողջությամբ ճանաչել, իսկ ստացված հատուցման գծով պետք է ճանաչի ֆինանսական պարտավորություն: Հետագա ժամանակաշրջաններում կազմակերպությունը պետք է ճանաչի փոխանցված ակտիվից ստացված ցանկացած եկամուտ և ֆինանսական պարտավորության գծով կրած ցանկացած ծախս։</t>
  </si>
  <si>
    <t>բ) Նշված դեպքում վաճառողը չի պահպանել պարտքերի հետ կապված էական ռիսկերն և հատույցները և պարտավորված չէ ետ վերադարձնել ֆակտորից ստացված գումարները, դեբիտորական պարտքերը պետք է ապաճանաչվեն ֆինանսական վիճակի մասին հաշվետվությունից և ֆակտորից ստացված գումարներիկ գծով որևէ պարտավորություն չի ճանաչվի: Շահույթը կամ վնասի մասին հաշվետվությունում պետք է ճանաչվի դեբիտորական պարտքերի հաշվեկշռային արժեքի և ստացված հատուցման միջև տարբերությունը՝ 20մլն․-17մլն= 3մլն․։</t>
  </si>
  <si>
    <t>Թողարկված պարտատոմսեր</t>
  </si>
  <si>
    <t>Ինդեքսի փոփոխությունը</t>
  </si>
  <si>
    <t>Ֆինանասական վիճակի մասին հաշվետվություն</t>
  </si>
  <si>
    <t>Շահույթի կամ վնասի մասին հաշվետվություն</t>
  </si>
  <si>
    <t>շահույթ</t>
  </si>
  <si>
    <t>ա)</t>
  </si>
  <si>
    <r>
      <t xml:space="preserve">Կազմակերպությունը պետք է ֆինանսական ակտիվները դասակարգի որպես հետագայում 
 - ամորտիզացված արժեքով,
- Իրական արժեքով՝ այլ համապարփակ ֆինանսական արդյունքի միջոցով, 
- իրական արժեքով շահույթի կամ վնասի միջոցով չափվող հիմնվելով երկու ստորև բերվածների վրա՝ 
ա)	ֆինանսական ակտիվների կառավարման կազմակերպության </t>
    </r>
    <r>
      <rPr>
        <b/>
        <sz val="11"/>
        <color theme="1"/>
        <rFont val="Calibri"/>
        <family val="2"/>
        <scheme val="minor"/>
      </rPr>
      <t>բիզնես մոդելի</t>
    </r>
    <r>
      <rPr>
        <sz val="11"/>
        <color theme="1"/>
        <rFont val="Calibri"/>
        <family val="2"/>
        <scheme val="minor"/>
      </rPr>
      <t xml:space="preserve">, և
բ) 	ֆինանսական ակտիվի </t>
    </r>
    <r>
      <rPr>
        <b/>
        <sz val="11"/>
        <color theme="1"/>
        <rFont val="Calibri"/>
        <family val="2"/>
        <scheme val="minor"/>
      </rPr>
      <t xml:space="preserve">պայմանագրային դրամական հոսքերի բնութագրերի։ </t>
    </r>
  </si>
  <si>
    <r>
      <t xml:space="preserve">Ֆինանսական ակտիվը պետք է չափվի </t>
    </r>
    <r>
      <rPr>
        <b/>
        <sz val="11"/>
        <color theme="1"/>
        <rFont val="Calibri"/>
        <family val="2"/>
        <scheme val="minor"/>
      </rPr>
      <t>ամորտիզացված արժեքով</t>
    </r>
    <r>
      <rPr>
        <sz val="11"/>
        <color theme="1"/>
        <rFont val="Calibri"/>
        <family val="2"/>
        <scheme val="minor"/>
      </rPr>
      <t xml:space="preserve">, եթե բավարարվում են հետևյալ երկու պայմանները՝ 
ա)	ֆինանսական ակտիվը պահվում է բիզնես մոդելի շրջանակում, որի նպատակն է պայմանագրային դրամական հոսքերի հավաքման համար ֆինանսական ակտիվներ պահելը, և բ)   ֆինանսական ակտիվի պայմանագրային պայմանները որոշակի ամսաթվերին առաջացնում են դրամական հոսքեր, որոնք բացառապես մայր գումարի և չմարված մայր գումարի վրա հաշվարկված տոկոսների վճարումներ են։ </t>
    </r>
  </si>
  <si>
    <r>
      <t xml:space="preserve">Ֆինանսական ակտիվը պետք է չափվի իրական արժեքով՝ </t>
    </r>
    <r>
      <rPr>
        <b/>
        <sz val="11"/>
        <color theme="1"/>
        <rFont val="Calibri"/>
        <family val="2"/>
        <scheme val="minor"/>
      </rPr>
      <t>այլ համապարփակ ֆինանսական արդյունքի միջոցով</t>
    </r>
    <r>
      <rPr>
        <sz val="11"/>
        <color theme="1"/>
        <rFont val="Calibri"/>
        <family val="2"/>
        <scheme val="minor"/>
      </rPr>
      <t xml:space="preserve">, եթե բավարարվում են հետևյալ երկու պայմանները՝
ա)	ֆինանսական ակտիվը պահվում է բիզնես մոդելի շրջանակում, որի նպատակը իրագործվում է թե՛ պայմանագրային դրամական հոսքերի հավաքման միջոցով, թե՛ ֆինանսական ակտիվները վաճառելով, և
բ)	ֆինանսական ակտիվի պայմանագրային պայմանները որոշակի ամսաթվերին առաջացնում են դրամական հոսքեր, որոնք բացառապես մայր գումարի և չմարված մայր գումարի վրա հաշվարկված տոկոսների վճարումներն են ։ </t>
    </r>
  </si>
  <si>
    <r>
      <t xml:space="preserve">Ֆինանսական ակտիվը պետք է </t>
    </r>
    <r>
      <rPr>
        <b/>
        <sz val="11"/>
        <color theme="1"/>
        <rFont val="Calibri"/>
        <family val="2"/>
        <scheme val="minor"/>
      </rPr>
      <t>չափվի իրական արժեքով</t>
    </r>
    <r>
      <rPr>
        <sz val="11"/>
        <color theme="1"/>
        <rFont val="Calibri"/>
        <family val="2"/>
        <scheme val="minor"/>
      </rPr>
      <t xml:space="preserve">՝ </t>
    </r>
    <r>
      <rPr>
        <b/>
        <sz val="11"/>
        <color theme="1"/>
        <rFont val="Calibri"/>
        <family val="2"/>
        <scheme val="minor"/>
      </rPr>
      <t>շահույթի կամ վնասի միջոցով</t>
    </r>
    <r>
      <rPr>
        <sz val="11"/>
        <color theme="1"/>
        <rFont val="Calibri"/>
        <family val="2"/>
        <scheme val="minor"/>
      </rPr>
      <t>, բացառությամբ երբ այն չափվում է ամորտիզացված արժեքով կամ իրական արժեքով՝ այլ համապարփակ ֆինանսական արդյունքի միջոցով:</t>
    </r>
  </si>
  <si>
    <t>Կազմակերպության բիզնես մոդելը վերաբերում է նրան, թե ինչպես է կազմակերպությունը կառավարում իր ֆինանսական ակտիվները, որպեսզի ստեղծի դրամական միջոցների հոսքեր: Այսինքն, կազմակերպության բիզնես մոդելից է կախված, թե դրամական միջոցների հոսքերը կառաջանան`  հավաքագրելով պայմանագրային դրամական միջոցների հոսքերը  վաճառելով ֆինանսական ակտիվները երկուսն էլ</t>
  </si>
  <si>
    <t>բ) 1-ին կետում ներկայացված գործիքը ընկերությունը կդասակարգի որպես ամորտիզացված արժեքով չափվող ֆինանսական ակտիվ</t>
  </si>
  <si>
    <t>2-րդ կետում ներկայացված գործիքը ընկերությունը կդասակարգի որպես իրական արժեքով շահույթի կամ վնասի միջոցով չափվող ֆինանսական ակտիվ</t>
  </si>
  <si>
    <t>ՈՒստի Ճանաչման պահին "Նանե" Ընկերությունը կշարունակի դեբիտորական պարտքերը ճանաչել իր ֆինանսական հաշվետվություններում և միաժամանակ կճանաչի ֆինանսական պարտավորությունը ֆակտորինգային ընկերության նկատմամբ 20 մլն․ դրամի չափով։</t>
  </si>
  <si>
    <t>ԽՆԴԻՐ 1</t>
  </si>
  <si>
    <t>Համապարփակ ֆինանսական արդյունքների մասին համախմբված հաշվետվություն 
               31/12/2023թ-ին ավարտված տարվա համար։</t>
  </si>
  <si>
    <t>Հազ․ դրամ</t>
  </si>
  <si>
    <t>Ճշտումներ</t>
  </si>
  <si>
    <t>Համախմբված</t>
  </si>
  <si>
    <t>«Վանատուր»</t>
  </si>
  <si>
    <t>«Ծովինար»</t>
  </si>
  <si>
    <t>Հասույթ</t>
  </si>
  <si>
    <t>քայլ 5</t>
  </si>
  <si>
    <t>միավոր</t>
  </si>
  <si>
    <t>Վաճառքի ինքնարժեք</t>
  </si>
  <si>
    <t>Համախառն շահույթ</t>
  </si>
  <si>
    <t>Իրացման ծախսեր</t>
  </si>
  <si>
    <t>քայլ 1</t>
  </si>
  <si>
    <t>Վարչական ծախսեր</t>
  </si>
  <si>
    <t>քայլ 4</t>
  </si>
  <si>
    <t>Տոկոսային եկամուտ</t>
  </si>
  <si>
    <t>Տոկոսային ծախսեր</t>
  </si>
  <si>
    <t>քայլ 2</t>
  </si>
  <si>
    <t>Ակնկալվող պարտքային կորուստների գծով պահուստին հատկացում</t>
  </si>
  <si>
    <t>քայլ 6</t>
  </si>
  <si>
    <t>«Դուստր»-ի շահաբաժնիներից եկամուտ</t>
  </si>
  <si>
    <t>քայլ 3</t>
  </si>
  <si>
    <t>Շահույթը մինչև հարկերը</t>
  </si>
  <si>
    <t>Հարկի գծով ծախս</t>
  </si>
  <si>
    <t>Տարվա շահույթը</t>
  </si>
  <si>
    <t>Չվերահսկվող բաժնեմասին
վերագրվող</t>
  </si>
  <si>
    <t>քայլ 9</t>
  </si>
  <si>
    <t>Մայր կազմակերպության
սեփականատերերին
վերագրվող</t>
  </si>
  <si>
    <t>Այլ համապարփակ ֆին․ արդյունք</t>
  </si>
  <si>
    <t>ՀՄ վերագնահատումից եկամուտ</t>
  </si>
  <si>
    <t>Համապարփակ ֆին․ արդյունք</t>
  </si>
  <si>
    <t>Ֆինանսական վիճակի մասին համախմբված հաշվետվություն 31/12/2023թ-ի դրությամբ։</t>
  </si>
  <si>
    <t>Ակտիվներ</t>
  </si>
  <si>
    <t>Ոչ ընթացիկ ակտիվներ</t>
  </si>
  <si>
    <r>
      <t xml:space="preserve">     </t>
    </r>
    <r>
      <rPr>
        <sz val="10"/>
        <color theme="1"/>
        <rFont val="GHEA Grapalat"/>
        <family val="3"/>
      </rPr>
      <t>Հիմնական միջոցներ</t>
    </r>
  </si>
  <si>
    <t xml:space="preserve">     Ոչ նյութական ակտիվներ</t>
  </si>
  <si>
    <t xml:space="preserve">     Գուդվիլ</t>
  </si>
  <si>
    <t xml:space="preserve">    Տրամադրված փոխառություններ</t>
  </si>
  <si>
    <t xml:space="preserve">     Ներդրումներ «Դուստր»-ում</t>
  </si>
  <si>
    <t xml:space="preserve">      </t>
  </si>
  <si>
    <t>Ընթացիկ ակտիվներ</t>
  </si>
  <si>
    <t xml:space="preserve">      Պաշարներ</t>
  </si>
  <si>
    <t>քայլ 3,5</t>
  </si>
  <si>
    <t xml:space="preserve">      Դեբիտորական պարտքեր</t>
  </si>
  <si>
    <t xml:space="preserve">      Դրամական միջոցներ</t>
  </si>
  <si>
    <t>Ընդամենը ակտիվներ</t>
  </si>
  <si>
    <t>Կապիտալ և պարտավորություններ</t>
  </si>
  <si>
    <t>Կապիտալ</t>
  </si>
  <si>
    <t xml:space="preserve">      Բաժնետիրական կապիտալ (1000 դրամ յուրաքանչյուրը)</t>
  </si>
  <si>
    <t xml:space="preserve">      Էմիսիոն եկամուտ</t>
  </si>
  <si>
    <t>Վերագնահատման պահուստ</t>
  </si>
  <si>
    <t>քայլ 7</t>
  </si>
  <si>
    <t>Կուտակված շահույթ</t>
  </si>
  <si>
    <t>քայլ 8</t>
  </si>
  <si>
    <t>Չվերահսկվող բաժնեմաս</t>
  </si>
  <si>
    <t>Ոչ ընթացիկ պարտավորություններ</t>
  </si>
  <si>
    <t>Ստացված փոխառություններ</t>
  </si>
  <si>
    <t>Պարտավորություն բաժնետոմսերի ձեռքբերման գծով</t>
  </si>
  <si>
    <t>քայլ 1, 2</t>
  </si>
  <si>
    <t>Ընթացիկ պարտավորություններ</t>
  </si>
  <si>
    <t>Ընթացիկ հարկի գծով պարտք</t>
  </si>
  <si>
    <t>Շահաբաժինների գծով պարտավորություն</t>
  </si>
  <si>
    <t>Կրեդիտորական պարտքեր</t>
  </si>
  <si>
    <t>Ընդամենը կապիտալ և պարտավորություններ</t>
  </si>
  <si>
    <t>Քայլ 1 Դուստր կազմակերպոթյան ձեռքբերում, գուդվիլի հաշվարկ</t>
  </si>
  <si>
    <t>Փոխանցված հատուցում</t>
  </si>
  <si>
    <t>Դրամական միջոցների վճարում</t>
  </si>
  <si>
    <t>Բաժնետոմսերի փոխանակում (3000*4000)/1000</t>
  </si>
  <si>
    <t>Չվերահսկվող բաժնեմասի իրական արժեք</t>
  </si>
  <si>
    <t>Բաժնետիրական կապիտալ</t>
  </si>
  <si>
    <t>Էմիսիոն եկամուտ</t>
  </si>
  <si>
    <t>Կուտակված շահույթ ձեռքբերման ամսաթվին
 01/01/2023 կուտ․ շահույթ 7,150+ 2023թ․ առաջին կիսամյակի շահույթը</t>
  </si>
  <si>
    <t>Իրական արժեքների տարբերութուններ</t>
  </si>
  <si>
    <t xml:space="preserve">Սարքավորման իրական արժեքը </t>
  </si>
  <si>
    <t>ԶԱ իրական արժեք</t>
  </si>
  <si>
    <t>Գուդվիլ ձեռքբերման պահին</t>
  </si>
  <si>
    <t>Արժեզրկում</t>
  </si>
  <si>
    <t>Գուդվիլ հաշվետու ժամանակաշրջանի ավարտին</t>
  </si>
  <si>
    <t>Քայլ 2</t>
  </si>
  <si>
    <t>Քայլ 3 Ներխմբային շահաբաժիններ</t>
  </si>
  <si>
    <t>Մայր կազմակերպության վճարման ենթակա շահաբաժինների  (3,000*0.6)</t>
  </si>
  <si>
    <t>Քայլ 4 Դուստրի զուտ ակտիվների իրական արժեքի տարբերություների հետագա հաշվառումը</t>
  </si>
  <si>
    <t>Հիմնական միջոցներ</t>
  </si>
  <si>
    <t>Ձեռքբերման պահին իրական արժեքի տարբերությունը</t>
  </si>
  <si>
    <t>Լրացուցիչ մաշվածության գծով ծախս 6 ամսվա համար (19000/20/2)</t>
  </si>
  <si>
    <t>Հաշվեկշռային արժեքը հաշվետու ժամանակաշրջանի վերջին</t>
  </si>
  <si>
    <t>Քայլ 5 չիրացված շահույթ</t>
  </si>
  <si>
    <t>Պաշարների վաճառք</t>
  </si>
  <si>
    <t>Ներխմբային վաճառքից հասույթ</t>
  </si>
  <si>
    <t>Ներխմբային վաճառքի գծով ինքնարժեքի ծախս</t>
  </si>
  <si>
    <t>Չիրացված շահույթի մնացորդը հաշվետու ժամանակաշրջանի ավարտին (18000-15000)/2</t>
  </si>
  <si>
    <t>Պաշարների մնացորդի ճշտում</t>
  </si>
  <si>
    <t>Չվճարված դեբիտորական պարտքերի /կրեդիտորական պարքերի փոխբացառում</t>
  </si>
  <si>
    <t>Քայլ 6 Ներխմբային փոխառություն</t>
  </si>
  <si>
    <t>Ներխմբային փոխառության մնացորդների փոխբացառում</t>
  </si>
  <si>
    <t>Ներխմբային փոխառության գծով ակնկալվող պարտքային կորուստների գծով պահուստին հատկացված ծախսի հակադարձում</t>
  </si>
  <si>
    <t>Քայլ 7 Այլ համապարփակ ֆին արդյունք</t>
  </si>
  <si>
    <t>ՀՄ վերագնահատում</t>
  </si>
  <si>
    <t>Չվերահսկվող բաժնեմասին վերագրվող (1,800*0.4)</t>
  </si>
  <si>
    <t>Մայր կազմակերպության սեփականատերերին վերագրվող (1,800*0.6)</t>
  </si>
  <si>
    <t>Քայլ 8 Խմբի կուտակված շահույթ</t>
  </si>
  <si>
    <t>Մայր կազմ․ կուտակված շահույթ</t>
  </si>
  <si>
    <t>Դուստր կազմակերպության հետձեռքբերումային շահույթ</t>
  </si>
  <si>
    <t>Չիրացված շահույթ</t>
  </si>
  <si>
    <t>Գուդվիլի արժեզրկում</t>
  </si>
  <si>
    <t>Տոկոսային ծախս/հետաձգված հատուցումից</t>
  </si>
  <si>
    <t>Լրացուցիչ մաշվածություն ՀՄ իրական արժեքի տարբերության գծով</t>
  </si>
  <si>
    <t>Ակնկալվող պարտքային կորուստների գծով պահուստին հատկացված ծախսի հակադարձում</t>
  </si>
  <si>
    <t>Դուստր կազմ․ շահաբաժին</t>
  </si>
  <si>
    <t>Ընդամենը</t>
  </si>
  <si>
    <t>Խմբի մասնաբաժինը</t>
  </si>
  <si>
    <t>Քայլ 9 Չվերահսկվող բաժնեմաս</t>
  </si>
  <si>
    <t>Ձեռքբերման պահին իրական արժեք</t>
  </si>
  <si>
    <t>Շահաբաժինների հայտարարում չվերահսկվող բաժնեմասին բաժին ընկնող մասը</t>
  </si>
  <si>
    <t>Հետձեռքբերումային շահույթի / Վնասի մանաբաժին</t>
  </si>
  <si>
    <t>Վերագնահատման արդյունք ՀՄ</t>
  </si>
  <si>
    <t>ԽՆԴԻՐ 2</t>
  </si>
  <si>
    <t>Խնդիր 3</t>
  </si>
  <si>
    <t>Գ</t>
  </si>
  <si>
    <t>Ապագա վարձավճարների ներկա արժեք</t>
  </si>
  <si>
    <t>Տոկոսներ</t>
  </si>
  <si>
    <t>Կանխավճար</t>
  </si>
  <si>
    <t>վճարում</t>
  </si>
  <si>
    <t>Պարտավորություն</t>
  </si>
  <si>
    <t>Մաշվածություն</t>
  </si>
  <si>
    <t>Ա</t>
  </si>
  <si>
    <r>
      <t xml:space="preserve">1 </t>
    </r>
    <r>
      <rPr>
        <sz val="10"/>
        <color rgb="FF000000"/>
        <rFont val="Sylfaen"/>
        <family val="1"/>
      </rPr>
      <t>ամսվա սպասարկման արժեք</t>
    </r>
  </si>
  <si>
    <t>Սարքավորման արժեքը</t>
  </si>
  <si>
    <t>Տեղակայման արժեք</t>
  </si>
  <si>
    <t>Բ</t>
  </si>
  <si>
    <t>300*150*80%</t>
  </si>
  <si>
    <t>300*100*20%</t>
  </si>
  <si>
    <t>Դ</t>
  </si>
  <si>
    <t>Ծախսը տարվա համար</t>
  </si>
  <si>
    <t>Հետաձգված հարկի գծով փոխհատուցում</t>
  </si>
  <si>
    <t>Եկամուտ ծախս</t>
  </si>
  <si>
    <t>Տարեվերջին ՀՀՊ 17մլն*20%</t>
  </si>
  <si>
    <t xml:space="preserve">Տարեսկզբին ՀՀՊ </t>
  </si>
  <si>
    <t>Շահույթ նախքան շահութահարկով հարկումը</t>
  </si>
  <si>
    <t>Շահութահարկի գծով ծախս</t>
  </si>
  <si>
    <t>Տարվա զուտ շահույթը հարկումից հետո</t>
  </si>
  <si>
    <t>Բաժնետոմսերի քանակ 31.12.23-ին</t>
  </si>
  <si>
    <t>Շահաբաժնային թողարկում 01.02.2024</t>
  </si>
  <si>
    <t>Լրիվ շուկայական արժեքով թողարկում 01/07/2024</t>
  </si>
  <si>
    <t>Միջին կշռված քանակ</t>
  </si>
  <si>
    <t>ՄԲՇ</t>
  </si>
  <si>
    <t>Հաշվեկշռային արժեք</t>
  </si>
  <si>
    <t>Հնարավոր առանձին վաճառքի գին</t>
  </si>
  <si>
    <t>1 ՀՄ</t>
  </si>
  <si>
    <t>2 ՀՄ</t>
  </si>
  <si>
    <t>3 ՀՄ</t>
  </si>
  <si>
    <t>-</t>
  </si>
  <si>
    <t>Գուդվիլ</t>
  </si>
  <si>
    <t>ԴՄ փոխհատուցվող գումար</t>
  </si>
  <si>
    <t>Շահութահարկեր</t>
  </si>
  <si>
    <t xml:space="preserve">ա) հաշվետու տարվա շահութահարկը բաղկացած է ընթացիկ և հետաձգված հարկերից: Շահութահարկը ճանաչվում է համապարփակ եկամտի մասին հաշվետվությունում, բացառությամբ այն հարկերի, որոնց գծով գործառնությունների արդյունքները ճանաչվել են կապիտալում, որի դեպքում հարկերը նույնպես ճանաչվում են կապիտալում: </t>
  </si>
  <si>
    <t>(1 միավոր)</t>
  </si>
  <si>
    <t xml:space="preserve">բ) ըստ ՀՀՄՍ 12 «Շահութահարկեր» ստանդարտի ժամանակավոր տարբերությունները ակտիվի կամ պարտավորության հաշվեկշռային արժեքի և դրա հարկային բազայի միջև եղած տարբերություններն են: </t>
  </si>
  <si>
    <t>Ժամանակավոր տարբերությունները կարող են լինել երկու տեսակի.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</si>
  <si>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>հարկվող ժամանակավոր տարբերություններ.</t>
    </r>
  </si>
  <si>
    <t>ժամանակավոր տարբերություններ են, որոնք ապագա ժամանակաշրջանների հարկվող շահույթը որոշելիս հանգեցնում են հարկվող գումարների առաջացման.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</si>
  <si>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>նվազեցվող ժամանակավոր տարբերություններ.</t>
    </r>
  </si>
  <si>
    <t>ժամանակավոր տարբերություններ են, որոնք ապագա ժամանակաշրջանների հարկվող շահույթը  որոշելիս հանգեցնում են նվազեցվող գումարների առաջացման:</t>
  </si>
  <si>
    <t>գ) Հետաձգված հարկային պարտավորությունները և հետաձգված հարկային ակտիվները.</t>
  </si>
  <si>
    <t>Հետաձգված հարկային պարտավորությունները ապագա ժամանակաշրջաններում վճարման ենթակա շահութահարկերի գումարներն են՝ կապված հարկվող ժամանակավոր տարբերությունների հետ:</t>
  </si>
  <si>
    <t>Հետաձգված հարկային ակտիվները ապագա ժամանակաշրջաններում փոխհատուցման ենթակա շահութահարկերի գումարներն են` կապված.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</si>
  <si>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>նվազեցվող ժամանակավոր տարբերությունների հետ.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</si>
  <si>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>չօգտագործված հարկային վնասը հաջորդ ժամանակաշրջաններ տեղափոխելու հետ.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</si>
  <si>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>չօգտագործված հարկային զեղչերը հաջորդ ժամանակաշրջաններ տեղափոխելու հետ:</t>
    </r>
  </si>
  <si>
    <t xml:space="preserve"> (1 միավոր)</t>
  </si>
  <si>
    <t>դ) Ակտիվների և պարտավորությունների հարկային բազաներ.</t>
  </si>
  <si>
    <t>Ակտիվի հարկային բազան այն գումարն է, որը հարկային նպատակով նվազեցվելու է ցանկացած հարկվող տնտեսական օգուտներից, որոնք ստանալու է կազմա­կեր­պությունը ակտիվի հաշվեկշռային արժեքը փոխհատուցելիս:</t>
  </si>
  <si>
    <t>Պարտավորության հարկային բազան դրա հաշվեկշռային արժեքն է՝ հանած ցանկացած գումար, որը, կապված այդ պարտավորության հետ, հետագա ժամանակա­շրջան­­­­­ներում հարկային նպատակներով նվազեցվելու է:</t>
  </si>
  <si>
    <t>ե) Հետաձգված հարկային ակտիվների և հետաձգված հարկային պարտավորությունների ճանաչման մոտեցումները.</t>
  </si>
  <si>
    <t>Հետաձգված հարկային պարտավորություն պետք է ճանաչվի բոլոր հարկվող ժամանակավոր տարբերությունների համար, բացառությամբ որոշակի դեպքերի:</t>
  </si>
  <si>
    <t>Հետաձգված հարկային ակտիվ պետք է ճանաչվի բոլոր նվազեցվող ժամանակավոր տարբերությունների գծով այն չափով, որքանով հավանական է հարկվող շահույթի ստացում, որի դիմաց կարող է օգտագործվել նվազեցվող ժամանակավոր տարբերությունը, բացառությամբ որոշակի դեպքերի:</t>
  </si>
  <si>
    <t>Խնդիր 4</t>
  </si>
  <si>
    <t>Քայլ 1</t>
  </si>
  <si>
    <t>Քայլ 3</t>
  </si>
  <si>
    <t>Քայլ 4</t>
  </si>
  <si>
    <t>Քայլ 5</t>
  </si>
  <si>
    <t>Վճարված շահաբաժին</t>
  </si>
  <si>
    <t>Դրամական միջոցների հոսքերի մասին հաշվետվություն</t>
  </si>
  <si>
    <t>Գործառնական գործունեությունից հոսքեր</t>
  </si>
  <si>
    <t>Շահույթ մինչ հարկումը</t>
  </si>
  <si>
    <t>Ճշգրտումներ</t>
  </si>
  <si>
    <t>Ոչ ընթացիկ ակտիվների մաշվածություն</t>
  </si>
  <si>
    <t>Ոչ ընթացիկ ակտիվների օտարումից օգուտ</t>
  </si>
  <si>
    <t>Տոկոսների գծով ծախս</t>
  </si>
  <si>
    <t>Արտարժույթի փոխարժեքային տարբերություններ</t>
  </si>
  <si>
    <t>Գործառնական գործունեությունից հոսքեր մինչև գործող կապիտալի փոփոխությունները</t>
  </si>
  <si>
    <t>Պաշարների փոփոխություն</t>
  </si>
  <si>
    <t>Դեբիտորական պարտքերի փոփոխություն</t>
  </si>
  <si>
    <t>Կրեդիտորական պարտքերի փոփոխություն</t>
  </si>
  <si>
    <t>Գործառնական գործունեությունից դրամական  հոսքեր</t>
  </si>
  <si>
    <t>Վճարված տոկոսներ</t>
  </si>
  <si>
    <t>Վճարված շահութահարկ</t>
  </si>
  <si>
    <t>Գործառնական գործունեությունից զուտ դրամական հոսքեր</t>
  </si>
  <si>
    <t>Ներդրումային գործունեությունից հոսքեր</t>
  </si>
  <si>
    <t>Հիմնական միջոցների վաճառքից մուտքեր</t>
  </si>
  <si>
    <t>Հիմնական միջոցների ձեռքբերումից հոսքեր</t>
  </si>
  <si>
    <t>Ներդրումային գործունեությունից զուտ մուտքեր</t>
  </si>
  <si>
    <t>Ֆիանանսավորման գործունեությունից հոսքեր</t>
  </si>
  <si>
    <t>Բաժնետոմսերի թողարկումից մուտքեր</t>
  </si>
  <si>
    <t>Պարտատոմսերի թողարկումից մուտքեր</t>
  </si>
  <si>
    <t>Վարկերի ներգրավումից մուտքեր</t>
  </si>
  <si>
    <t>Ֆիանանսավորման գործունեությունից զուտ հոսքեր</t>
  </si>
  <si>
    <t>Դրամական միջոցների և դրա  համարժեքների զուտ աճ</t>
  </si>
  <si>
    <t>Արտարժույթի փոխարժեքային տարբերությունների ազդեցությունը ԴՄ-ի վրա</t>
  </si>
  <si>
    <t>Դրամական միջոցների և դրա  համարժեքների մնացորդը տարեսկզբին</t>
  </si>
  <si>
    <t>Դրամական միջոցների և դրա  համարժեքների մնացորդը տարեվերջին</t>
  </si>
  <si>
    <t>Ոչ ընթացիկ ակտիվի օտարումից շահույթ 5500-(14000-9000)</t>
  </si>
  <si>
    <t>ՀՄ մնացորդը տարվա սկզբին</t>
  </si>
  <si>
    <t>ՀՄ օտարում</t>
  </si>
  <si>
    <t>ՀՄ մաշվածություն</t>
  </si>
  <si>
    <t>ՀՄ մնացորդը տարվա վերջին</t>
  </si>
  <si>
    <t>ՀՄ ձեռքբերում</t>
  </si>
  <si>
    <t>Վճարումներ ՀՄ ձեռքբերման դիմաց</t>
  </si>
  <si>
    <t>Ոչ նյութական ակտիվի ձեռքբերում տեղի չի ունեցել</t>
  </si>
  <si>
    <t>Դեբիտորական պարտքեր</t>
  </si>
  <si>
    <t>Փոխարժեքային տարբերություներ</t>
  </si>
  <si>
    <t>31.12.2024</t>
  </si>
  <si>
    <t>31.12.2023</t>
  </si>
  <si>
    <t>Մնացորդը</t>
  </si>
  <si>
    <t>որից ՀՄ գծով</t>
  </si>
  <si>
    <t>Հարկի գծով փոխհատուցում</t>
  </si>
  <si>
    <t>որից հետաձգված հարկի գծով</t>
  </si>
  <si>
    <t>Ընթացիկ հարկի գծովց ծախս չի ձևավորվել</t>
  </si>
  <si>
    <t>Բաժնետոմսերի հավելագին</t>
  </si>
  <si>
    <t>Տարեսկզբի մնացորդ</t>
  </si>
  <si>
    <t>Պարգևատրումային թողարկում (8000/4)</t>
  </si>
  <si>
    <t>Թողարկում դրամական միջոցներով</t>
  </si>
  <si>
    <t xml:space="preserve">  –</t>
  </si>
  <si>
    <t>Վնաս</t>
  </si>
  <si>
    <t>Տարեվերջի մնացորդ</t>
  </si>
  <si>
    <t>Ֆինանսական վիճակի մասին հաշվետվություն</t>
  </si>
  <si>
    <t>Միլիոն դրամ</t>
  </si>
  <si>
    <t>31.12.2024թ.</t>
  </si>
  <si>
    <t>31.12.2023թ.</t>
  </si>
  <si>
    <t>Ոչ նյութական ակտիվներ</t>
  </si>
  <si>
    <t>Ընդամենը ոչ ընթացիկ ակտիվներ</t>
  </si>
  <si>
    <t>Պաշարներ</t>
  </si>
  <si>
    <t>Առևտրական և այլ դեբիտորական պարտքեր</t>
  </si>
  <si>
    <t>Դրամական միջոցներ և դրանց համարժեքներ</t>
  </si>
  <si>
    <t>Ընդամենը ընթացիկ ակտիվներ</t>
  </si>
  <si>
    <t>Սեփական կապիտալ</t>
  </si>
  <si>
    <t xml:space="preserve">        Բաժնետիրական կապիտալ (սովորական </t>
  </si>
  <si>
    <t xml:space="preserve">        բաժնետոմսեր`յուրաքանչյուրը 1,000 դրամ </t>
  </si>
  <si>
    <t xml:space="preserve">        անվանական արժեքով)</t>
  </si>
  <si>
    <t>Ընդամենը սեփական կապիտալ</t>
  </si>
  <si>
    <t>Պարտավորություններ</t>
  </si>
  <si>
    <t>Ստացված վարկեր</t>
  </si>
  <si>
    <t>Հետաձգված հարկային պարտավորություններ</t>
  </si>
  <si>
    <t>Ընդամենը ոչ ընթացիկ պարտավորություններ</t>
  </si>
  <si>
    <t>Բանկային օվերդրաֆտ</t>
  </si>
  <si>
    <t>Տոկոսների գծով պարտավորություն</t>
  </si>
  <si>
    <t>Շահութահարկի գծով պարտավորություն</t>
  </si>
  <si>
    <t>Առևտրական և այլ կրեդիտորական պարտքեր</t>
  </si>
  <si>
    <t>Ընդամենը ընթացիկ պարտավորություններ</t>
  </si>
  <si>
    <t>Ընդամենը պարտավորություններ</t>
  </si>
  <si>
    <t>Ընդամենը սեփական կապիտալ և պարտավորություններ</t>
  </si>
  <si>
    <t>Ֆինանսական արդյունքների մասին հաշվետվություն</t>
  </si>
  <si>
    <r>
      <t> </t>
    </r>
    <r>
      <rPr>
        <b/>
        <i/>
        <sz val="12"/>
        <color rgb="FF000000"/>
        <rFont val="Arial Unicode"/>
        <family val="2"/>
      </rPr>
      <t>Միլիոն դրամ</t>
    </r>
  </si>
  <si>
    <r>
      <t>Վաճառքի ինքնարժեք</t>
    </r>
    <r>
      <rPr>
        <sz val="12"/>
        <color rgb="FF000000"/>
        <rFont val="Arial Unicode"/>
        <family val="2"/>
      </rPr>
      <t>,</t>
    </r>
  </si>
  <si>
    <t>այդ թվում`</t>
  </si>
  <si>
    <t>Հիմնական միջոցների մաշվածություն</t>
  </si>
  <si>
    <t>Ոչ նյութական ակտիվների ամրոտիզացիա</t>
  </si>
  <si>
    <t>Այլ եկամուտներ</t>
  </si>
  <si>
    <t>Գործառնական գործունեության արդյունքներ</t>
  </si>
  <si>
    <t>Փոխարժեքային տարբերություններից ծախսեր</t>
  </si>
  <si>
    <t>Շահութահարկի գծով փոխհատուցում (ծախս)</t>
  </si>
  <si>
    <t>Տարվա զուտ շահույթը</t>
  </si>
  <si>
    <t>Դա բացասաբար է ազդում նաև ֆինանսական լծակի գործակցի վրա։</t>
  </si>
  <si>
    <t>Հուսադրող է այն, որ նոր գուրծունեության ուղղություն է նախաձեռնված, որը սակայն պետք է գնահատվի ներկայումս գոյություն ունեցող դեֆոլտի ռիսկի պայմաններում։</t>
  </si>
  <si>
    <t xml:space="preserve">Դեբիտորական պարտքերի կառավարման վերաբերյալ մտահոգիչ է այն հանգամանքը, որ դեբիտորական պարտքերի  հավաքագրման ցուցանիշները ղեկավարության կարծիքով չեն կարող ապահովել կարճաժամկետ կրեդիտորական պարտքերի մարումը։ </t>
  </si>
  <si>
    <t xml:space="preserve">Կազմակերպության գործառնական գործունեության դրամական հոսքերը, բացասական են, ընդ որում այդ ցուցանիշը գերազանցում է ամբողջ գործունեության ֆինանսական արդյունը՝ վնասը։ </t>
  </si>
  <si>
    <t>Միաժամանակ, ինչպես տրված է խնդրի պայմաններում, դեբիտորական պարտքերի հավաքագրման համար ներգրավված աշխատակցի արդյունավետությունը նույնպես գնահատման կարիք ունի</t>
  </si>
  <si>
    <t>Եթե նույնիսկ տոկոսների և շահաբաժինների վճարումը հանվի գործառնական գործուներության հոսքերից և դիտարկվի որպես ֆինանսական, պատկերը չի փոխվի։</t>
  </si>
  <si>
    <t>Պետք է քննարկել, արդյոք ողջամիտ է հայտարարել և ամբողջությամբ վճարել շահաբաժիններ նման ֆինանսական վիճակի դեպքում</t>
  </si>
  <si>
    <r>
      <t xml:space="preserve">Հետաձգված հատուցում, </t>
    </r>
    <r>
      <rPr>
        <b/>
        <sz val="10"/>
        <color theme="1"/>
        <rFont val="GHEA Grapalat"/>
        <family val="3"/>
      </rPr>
      <t>2,5 տարի</t>
    </r>
  </si>
  <si>
    <t>Մայր</t>
  </si>
  <si>
    <t>Դուստր</t>
  </si>
  <si>
    <t>40%</t>
  </si>
  <si>
    <t>60%</t>
  </si>
  <si>
    <t>ԽՆԴԻՐ 1 կետ 9</t>
  </si>
  <si>
    <t>NPV</t>
  </si>
  <si>
    <t>Շահույթ/Վնաս</t>
  </si>
  <si>
    <t>Դա ավելանում է այն մտահոգությունը, որ կազմակերպությունը արդեն երկրորդ տարին աշխատում է վնասով։</t>
  </si>
  <si>
    <t xml:space="preserve">Կազմակերպությունը իր գործառնական գործունեությունը ֆինանսավորում է հիմնականում ստացված վարկերի, թողարկված նոր բաժնետիրական կապիտալի և թողարկված պարտատոմսերի հաշվին։ </t>
  </si>
  <si>
    <t xml:space="preserve">Ընկերությունը որոշ ապրանքների վերամշակման գործառույթը պատվիրակելով այլ կազմակերպության կարող է ունենալ դրամական միջոցների հավելյալ արտահոսք, ինչպես նաև ինքնարժեքի և վնասի աճ  </t>
  </si>
  <si>
    <t>15000*7%</t>
  </si>
  <si>
    <t>20000*3%</t>
  </si>
  <si>
    <t>Քայլ 6</t>
  </si>
  <si>
    <t>ծախս</t>
  </si>
  <si>
    <t>Բաժնետոմսերի գծով հետաձգված հատուցման տոկոսային ծախսի հաշվեգրում (8,250*8%/2)</t>
  </si>
  <si>
    <t>դրամ</t>
  </si>
  <si>
    <t>Բաղադրյալ ֆինանսական գործիքներ</t>
  </si>
  <si>
    <t>Վճարման ենթակա տոկոսներ յուրաքանչյուր տարվա համար</t>
  </si>
  <si>
    <t>Զեղչման դրույք</t>
  </si>
  <si>
    <t>Վճարումների ժամանակացույց</t>
  </si>
  <si>
    <t>01.07.2025</t>
  </si>
  <si>
    <t>01.07.2026</t>
  </si>
  <si>
    <t>01.07.2027</t>
  </si>
  <si>
    <t>Սկզբնական ճանաչման պահին՝</t>
  </si>
  <si>
    <t>Սեփական կապիտալի բաղադրիչ</t>
  </si>
  <si>
    <t>Ֆինանսական պարտավորության բաղադիրչ</t>
  </si>
  <si>
    <t>2025թ․ Հունիսի 30-ին</t>
  </si>
  <si>
    <t>Տոկոսային ծախս</t>
  </si>
  <si>
    <t>Միանվագ գումարի ներկա արժեքի աղյուսակ՝</t>
  </si>
  <si>
    <t>Տարի</t>
  </si>
  <si>
    <t>Անուիտետի ներկա արժեքի աղյուսակ՝</t>
  </si>
  <si>
    <t>Շահույթի և վնասի մասին հաշվետվություն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</si>
</sst>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color rgb="FF000000"/>
      <name val="Sylfaen"/>
      <family val="1"/>
    </font>
    <font>
      <u val="double"/>
      <sz val="10"/>
      <color theme="1"/>
      <name val="Sylfae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Wingdings"/>
      <charset val="2"/>
    </font>
    <font>
      <sz val="7"/>
      <color theme="1"/>
      <name val="Times New Roman"/>
      <family val="1"/>
    </font>
    <font>
      <b/>
      <sz val="10"/>
      <color theme="1"/>
      <name val="Verdana"/>
      <family val="2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Verdana"/>
      <family val="2"/>
    </font>
    <font>
      <sz val="10"/>
      <color theme="1"/>
      <name val="Times New Roman"/>
      <family val="1"/>
    </font>
    <font>
      <sz val="8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Arial Unicode"/>
      <family val="2"/>
    </font>
    <font>
      <b/>
      <i/>
      <sz val="12"/>
      <color rgb="FF000000"/>
      <name val="Arial Unicode"/>
      <family val="2"/>
    </font>
    <font>
      <b/>
      <sz val="12"/>
      <color rgb="FF000000"/>
      <name val="Arial Unicode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 Unicode"/>
      <family val="2"/>
    </font>
    <font>
      <sz val="12"/>
      <color theme="1"/>
      <name val="Arial Unicode"/>
      <family val="2"/>
    </font>
    <font>
      <i/>
      <sz val="12"/>
      <color rgb="FF000000"/>
      <name val="Arial Unicode"/>
      <family val="2"/>
    </font>
    <font>
      <sz val="11"/>
      <color theme="1"/>
      <name val="Verdana"/>
      <family val="2"/>
    </font>
    <font>
      <b/>
      <sz val="11"/>
      <color theme="1"/>
      <name val="Arial Armenian"/>
      <family val="2"/>
    </font>
    <font>
      <sz val="11"/>
      <color theme="1"/>
      <name val="Arial Armenian"/>
      <family val="2"/>
    </font>
    <font>
      <sz val="11"/>
      <color rgb="FFFF0000"/>
      <name val="Calibri"/>
      <family val="2"/>
      <scheme val="minor"/>
    </font>
    <font>
      <sz val="9"/>
      <color rgb="FFFF0000"/>
      <name val="GHEA Grapalat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GHEA Grapalat"/>
      <family val="3"/>
    </font>
    <font>
      <sz val="1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165" fontId="0" fillId="0" borderId="0" xfId="0" applyNumberFormat="1"/>
    <xf numFmtId="0" fontId="0" fillId="0" borderId="0" xfId="0" applyAlignment="1">
      <alignment wrapText="1"/>
    </xf>
    <xf numFmtId="165" fontId="0" fillId="0" borderId="0" xfId="1" applyNumberFormat="1" applyFont="1"/>
    <xf numFmtId="0" fontId="0" fillId="0" borderId="0" xfId="0" applyAlignment="1">
      <alignment horizontal="right"/>
    </xf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5" fontId="4" fillId="0" borderId="0" xfId="0" applyNumberFormat="1" applyFont="1"/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0" applyNumberFormat="1" applyFont="1" applyBorder="1"/>
    <xf numFmtId="0" fontId="3" fillId="0" borderId="0" xfId="0" applyFont="1" applyAlignment="1">
      <alignment vertical="center" wrapText="1"/>
    </xf>
    <xf numFmtId="165" fontId="3" fillId="0" borderId="0" xfId="1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5" fontId="4" fillId="0" borderId="0" xfId="1" applyNumberFormat="1" applyFont="1"/>
    <xf numFmtId="165" fontId="4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Alignment="1">
      <alignment horizontal="right"/>
    </xf>
    <xf numFmtId="165" fontId="4" fillId="0" borderId="2" xfId="1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165" fontId="4" fillId="0" borderId="0" xfId="1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165" fontId="3" fillId="0" borderId="2" xfId="0" applyNumberFormat="1" applyFont="1" applyBorder="1"/>
    <xf numFmtId="3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 vertical="center" wrapText="1"/>
    </xf>
    <xf numFmtId="164" fontId="4" fillId="0" borderId="1" xfId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165" fontId="4" fillId="0" borderId="0" xfId="1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 indent="3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5" fontId="4" fillId="0" borderId="2" xfId="1" applyNumberFormat="1" applyFont="1" applyBorder="1"/>
    <xf numFmtId="165" fontId="3" fillId="0" borderId="0" xfId="1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165" fontId="3" fillId="0" borderId="3" xfId="0" applyNumberFormat="1" applyFont="1" applyBorder="1" applyAlignment="1">
      <alignment horizontal="right"/>
    </xf>
    <xf numFmtId="165" fontId="4" fillId="0" borderId="3" xfId="1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65" fontId="5" fillId="0" borderId="2" xfId="1" applyNumberFormat="1" applyFont="1" applyBorder="1"/>
    <xf numFmtId="14" fontId="5" fillId="0" borderId="0" xfId="0" applyNumberFormat="1" applyFont="1"/>
    <xf numFmtId="165" fontId="5" fillId="0" borderId="0" xfId="1" applyNumberFormat="1" applyFont="1"/>
    <xf numFmtId="165" fontId="6" fillId="0" borderId="0" xfId="1" applyNumberFormat="1" applyFont="1"/>
    <xf numFmtId="165" fontId="6" fillId="0" borderId="0" xfId="0" applyNumberFormat="1" applyFont="1"/>
    <xf numFmtId="165" fontId="6" fillId="0" borderId="0" xfId="1" applyNumberFormat="1" applyFont="1" applyBorder="1"/>
    <xf numFmtId="165" fontId="5" fillId="0" borderId="0" xfId="1" applyNumberFormat="1" applyFont="1" applyBorder="1"/>
    <xf numFmtId="165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3" fontId="8" fillId="0" borderId="0" xfId="0" applyNumberFormat="1" applyFont="1" applyAlignment="1">
      <alignment vertical="center"/>
    </xf>
    <xf numFmtId="0" fontId="5" fillId="0" borderId="2" xfId="0" applyFont="1" applyBorder="1"/>
    <xf numFmtId="0" fontId="5" fillId="0" borderId="0" xfId="0" applyFont="1" applyAlignment="1">
      <alignment vertical="center" wrapText="1"/>
    </xf>
    <xf numFmtId="165" fontId="5" fillId="0" borderId="0" xfId="1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/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left" indent="2"/>
    </xf>
    <xf numFmtId="0" fontId="15" fillId="0" borderId="0" xfId="0" applyFont="1" applyAlignment="1">
      <alignment wrapText="1"/>
    </xf>
    <xf numFmtId="165" fontId="2" fillId="0" borderId="0" xfId="1" applyNumberFormat="1" applyFont="1"/>
    <xf numFmtId="0" fontId="17" fillId="0" borderId="0" xfId="0" applyFont="1" applyAlignment="1">
      <alignment horizontal="left" vertical="center" wrapText="1" indent="2"/>
    </xf>
    <xf numFmtId="3" fontId="0" fillId="0" borderId="0" xfId="0" applyNumberFormat="1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3" fontId="19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3" fontId="23" fillId="0" borderId="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right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 indent="2"/>
    </xf>
    <xf numFmtId="3" fontId="23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left" vertical="center" wrapText="1" indent="2"/>
    </xf>
    <xf numFmtId="0" fontId="26" fillId="0" borderId="1" xfId="0" applyFont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 indent="2"/>
    </xf>
    <xf numFmtId="0" fontId="0" fillId="0" borderId="1" xfId="0" applyBorder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165" fontId="26" fillId="0" borderId="1" xfId="1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justify" vertical="center"/>
    </xf>
    <xf numFmtId="0" fontId="23" fillId="0" borderId="2" xfId="0" applyFont="1" applyBorder="1" applyAlignment="1">
      <alignment horizontal="right" vertical="center" wrapText="1"/>
    </xf>
    <xf numFmtId="165" fontId="23" fillId="0" borderId="0" xfId="1" applyNumberFormat="1" applyFont="1" applyAlignment="1">
      <alignment horizontal="right" vertical="center" wrapText="1"/>
    </xf>
    <xf numFmtId="165" fontId="23" fillId="0" borderId="2" xfId="1" applyNumberFormat="1" applyFont="1" applyBorder="1" applyAlignment="1">
      <alignment vertical="center" wrapText="1"/>
    </xf>
    <xf numFmtId="165" fontId="23" fillId="0" borderId="0" xfId="1" applyNumberFormat="1" applyFont="1" applyAlignment="1">
      <alignment vertical="center" wrapText="1"/>
    </xf>
    <xf numFmtId="0" fontId="28" fillId="0" borderId="0" xfId="0" applyFont="1" applyAlignment="1">
      <alignment horizontal="left" vertical="center" wrapText="1" indent="5"/>
    </xf>
    <xf numFmtId="165" fontId="28" fillId="0" borderId="0" xfId="1" applyNumberFormat="1" applyFont="1" applyAlignment="1">
      <alignment horizontal="right" vertical="center" wrapText="1"/>
    </xf>
    <xf numFmtId="165" fontId="28" fillId="0" borderId="2" xfId="1" applyNumberFormat="1" applyFont="1" applyBorder="1" applyAlignment="1">
      <alignment horizontal="right" vertical="center" wrapText="1"/>
    </xf>
    <xf numFmtId="165" fontId="23" fillId="0" borderId="3" xfId="1" applyNumberFormat="1" applyFont="1" applyBorder="1" applyAlignment="1">
      <alignment horizontal="right" vertical="center" wrapText="1"/>
    </xf>
    <xf numFmtId="165" fontId="26" fillId="0" borderId="0" xfId="1" applyNumberFormat="1" applyFont="1" applyAlignment="1">
      <alignment horizontal="right" vertical="center" wrapText="1"/>
    </xf>
    <xf numFmtId="165" fontId="26" fillId="0" borderId="2" xfId="1" applyNumberFormat="1" applyFont="1" applyBorder="1" applyAlignment="1">
      <alignment horizontal="right" vertical="center" wrapText="1"/>
    </xf>
    <xf numFmtId="165" fontId="26" fillId="0" borderId="3" xfId="1" applyNumberFormat="1" applyFont="1" applyBorder="1" applyAlignment="1">
      <alignment horizontal="right" vertical="center" wrapText="1"/>
    </xf>
    <xf numFmtId="3" fontId="4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right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 vertical="center" wrapText="1"/>
    </xf>
    <xf numFmtId="0" fontId="30" fillId="0" borderId="0" xfId="0" applyFont="1"/>
    <xf numFmtId="0" fontId="31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 indent="1"/>
    </xf>
    <xf numFmtId="0" fontId="31" fillId="0" borderId="0" xfId="0" applyFont="1"/>
    <xf numFmtId="3" fontId="2" fillId="0" borderId="0" xfId="0" applyNumberFormat="1" applyFont="1"/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32" fillId="0" borderId="0" xfId="0" applyFont="1"/>
    <xf numFmtId="165" fontId="32" fillId="0" borderId="0" xfId="1" applyNumberFormat="1" applyFont="1"/>
    <xf numFmtId="165" fontId="32" fillId="0" borderId="0" xfId="0" applyNumberFormat="1" applyFont="1"/>
    <xf numFmtId="9" fontId="0" fillId="0" borderId="0" xfId="0" applyNumberFormat="1"/>
    <xf numFmtId="165" fontId="0" fillId="0" borderId="0" xfId="1" applyNumberFormat="1" applyFont="1" applyAlignment="1">
      <alignment wrapText="1"/>
    </xf>
    <xf numFmtId="0" fontId="2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33" fillId="0" borderId="4" xfId="0" applyFont="1" applyBorder="1" applyAlignment="1">
      <alignment vertical="center" wrapText="1"/>
    </xf>
    <xf numFmtId="0" fontId="33" fillId="0" borderId="5" xfId="0" applyFont="1" applyBorder="1" applyAlignment="1">
      <alignment horizontal="center" vertical="center" wrapText="1"/>
    </xf>
    <xf numFmtId="9" fontId="33" fillId="0" borderId="6" xfId="0" applyNumberFormat="1" applyFont="1" applyBorder="1" applyAlignment="1">
      <alignment vertical="center" wrapText="1"/>
    </xf>
    <xf numFmtId="0" fontId="33" fillId="0" borderId="7" xfId="0" applyFont="1" applyBorder="1" applyAlignment="1">
      <alignment horizontal="right" vertical="center" wrapText="1"/>
    </xf>
    <xf numFmtId="0" fontId="34" fillId="0" borderId="0" xfId="0" applyFont="1"/>
    <xf numFmtId="0" fontId="35" fillId="2" borderId="0" xfId="0" applyFont="1" applyFill="1"/>
    <xf numFmtId="165" fontId="34" fillId="0" borderId="0" xfId="1" applyNumberFormat="1" applyFont="1"/>
    <xf numFmtId="165" fontId="35" fillId="0" borderId="0" xfId="0" applyNumberFormat="1" applyFont="1"/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9" fontId="34" fillId="0" borderId="0" xfId="2" applyFont="1"/>
    <xf numFmtId="0" fontId="35" fillId="0" borderId="0" xfId="0" applyFont="1"/>
    <xf numFmtId="14" fontId="34" fillId="0" borderId="0" xfId="0" applyNumberFormat="1" applyFont="1"/>
    <xf numFmtId="165" fontId="34" fillId="0" borderId="0" xfId="0" applyNumberFormat="1" applyFont="1"/>
    <xf numFmtId="0" fontId="37" fillId="0" borderId="0" xfId="0" applyFont="1" applyAlignment="1">
      <alignment horizontal="left" vertical="center" indent="14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3" fontId="26" fillId="0" borderId="0" xfId="0" applyNumberFormat="1" applyFont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opLeftCell="A39" workbookViewId="0">
      <selection activeCell="A56" sqref="A56:XFD56"/>
    </sheetView>
  </sheetViews>
  <sheetFormatPr defaultColWidth="8.77734375" defaultRowHeight="13.8"/>
  <cols>
    <col min="1" max="1" width="10.44140625" style="56" customWidth="1"/>
    <col min="2" max="2" width="9.77734375" style="57" bestFit="1" customWidth="1"/>
    <col min="3" max="3" width="35.6640625" style="56" customWidth="1"/>
    <col min="4" max="4" width="12" style="56" bestFit="1" customWidth="1"/>
    <col min="5" max="5" width="15" style="56" customWidth="1"/>
    <col min="6" max="6" width="11.5546875" style="56" bestFit="1" customWidth="1"/>
    <col min="7" max="7" width="13.6640625" style="56" bestFit="1" customWidth="1"/>
    <col min="8" max="16384" width="8.77734375" style="56"/>
  </cols>
  <sheetData>
    <row r="1" spans="1:7" ht="15">
      <c r="A1" s="8" t="s">
        <v>18</v>
      </c>
    </row>
    <row r="4" spans="1:7">
      <c r="A4" s="56">
        <v>1</v>
      </c>
      <c r="B4" s="57" t="s">
        <v>137</v>
      </c>
      <c r="C4" s="58">
        <v>7266</v>
      </c>
      <c r="D4" s="59">
        <v>45658</v>
      </c>
      <c r="F4" s="60">
        <f>+C4</f>
        <v>7266</v>
      </c>
      <c r="G4" s="56" t="s">
        <v>138</v>
      </c>
    </row>
    <row r="5" spans="1:7">
      <c r="C5" s="60">
        <f>(C4+C6)*12%</f>
        <v>655.92</v>
      </c>
      <c r="D5" s="56" t="s">
        <v>139</v>
      </c>
      <c r="F5" s="58">
        <v>2000</v>
      </c>
      <c r="G5" s="56" t="s">
        <v>140</v>
      </c>
    </row>
    <row r="6" spans="1:7">
      <c r="C6" s="58">
        <v>-1800</v>
      </c>
      <c r="D6" s="56" t="s">
        <v>141</v>
      </c>
      <c r="F6" s="60">
        <f>SUM(F4:F5)</f>
        <v>9266</v>
      </c>
    </row>
    <row r="7" spans="1:7">
      <c r="C7" s="61">
        <f>SUM(C4:C6)</f>
        <v>6121.92</v>
      </c>
      <c r="D7" s="56" t="s">
        <v>142</v>
      </c>
      <c r="F7" s="58">
        <f>+F6/5</f>
        <v>1853.2</v>
      </c>
      <c r="G7" s="56" t="s">
        <v>143</v>
      </c>
    </row>
    <row r="8" spans="1:7">
      <c r="F8" s="61">
        <f>+F6-F7</f>
        <v>7412.8</v>
      </c>
    </row>
    <row r="9" spans="1:7">
      <c r="B9" s="62"/>
      <c r="E9" s="60"/>
    </row>
    <row r="11" spans="1:7">
      <c r="B11" s="63"/>
      <c r="C11" s="64"/>
      <c r="D11" s="64"/>
      <c r="E11" s="64"/>
      <c r="F11" s="64"/>
    </row>
    <row r="12" spans="1:7">
      <c r="C12" s="64"/>
      <c r="D12" s="64"/>
      <c r="E12" s="64"/>
      <c r="F12" s="64"/>
      <c r="G12" s="64"/>
    </row>
    <row r="13" spans="1:7">
      <c r="A13" s="56">
        <v>2</v>
      </c>
      <c r="B13" s="57" t="s">
        <v>144</v>
      </c>
      <c r="C13" s="64">
        <f>140000/24*1</f>
        <v>5833.333333333333</v>
      </c>
      <c r="D13" s="64" t="s">
        <v>145</v>
      </c>
      <c r="G13" s="64"/>
    </row>
    <row r="14" spans="1:7">
      <c r="C14" s="64">
        <f>500000-140000-20000</f>
        <v>340000</v>
      </c>
      <c r="D14" s="64" t="s">
        <v>146</v>
      </c>
      <c r="G14" s="64"/>
    </row>
    <row r="15" spans="1:7">
      <c r="C15" s="64">
        <v>20000</v>
      </c>
      <c r="D15" s="64" t="s">
        <v>147</v>
      </c>
      <c r="G15" s="64"/>
    </row>
    <row r="16" spans="1:7">
      <c r="C16" s="63">
        <f>SUM(C13:C15)</f>
        <v>365833.33333333331</v>
      </c>
      <c r="D16" s="64"/>
      <c r="E16" s="64"/>
      <c r="G16" s="64"/>
    </row>
    <row r="17" spans="1:7">
      <c r="C17" s="64"/>
      <c r="D17" s="64"/>
      <c r="E17" s="64"/>
      <c r="F17" s="64"/>
      <c r="G17" s="64"/>
    </row>
    <row r="18" spans="1:7">
      <c r="B18" s="63"/>
      <c r="C18" s="64"/>
      <c r="D18" s="64"/>
      <c r="E18" s="64"/>
      <c r="F18" s="64"/>
    </row>
    <row r="19" spans="1:7">
      <c r="B19" s="63"/>
      <c r="C19" s="64"/>
      <c r="D19" s="64"/>
      <c r="E19" s="64"/>
      <c r="F19" s="64"/>
    </row>
    <row r="20" spans="1:7">
      <c r="A20" s="56">
        <v>3</v>
      </c>
      <c r="B20" s="57" t="s">
        <v>148</v>
      </c>
      <c r="C20" s="64" t="s">
        <v>149</v>
      </c>
      <c r="D20" s="64">
        <f>300*150*80%</f>
        <v>36000</v>
      </c>
      <c r="E20" s="64" t="s">
        <v>25</v>
      </c>
      <c r="F20" s="64"/>
      <c r="G20" s="64"/>
    </row>
    <row r="21" spans="1:7">
      <c r="C21" s="64" t="s">
        <v>150</v>
      </c>
      <c r="D21" s="64">
        <f>300*100-(300*100*20%)</f>
        <v>24000</v>
      </c>
      <c r="E21" s="64" t="s">
        <v>28</v>
      </c>
      <c r="F21" s="64"/>
      <c r="G21" s="64"/>
    </row>
    <row r="22" spans="1:7">
      <c r="C22" s="64"/>
      <c r="D22" s="64"/>
      <c r="E22" s="64"/>
      <c r="F22" s="64"/>
      <c r="G22" s="64"/>
    </row>
    <row r="25" spans="1:7">
      <c r="A25" s="56">
        <v>4</v>
      </c>
      <c r="B25" s="57" t="s">
        <v>151</v>
      </c>
      <c r="C25" s="64" t="s">
        <v>152</v>
      </c>
      <c r="D25" s="66">
        <v>15200</v>
      </c>
      <c r="F25" s="67"/>
    </row>
    <row r="26" spans="1:7">
      <c r="C26" s="64" t="s">
        <v>153</v>
      </c>
      <c r="D26" s="58">
        <v>-3000</v>
      </c>
    </row>
    <row r="27" spans="1:7">
      <c r="C27" s="64" t="s">
        <v>154</v>
      </c>
      <c r="D27" s="68">
        <f>+D25+D26</f>
        <v>12200</v>
      </c>
    </row>
    <row r="28" spans="1:7">
      <c r="C28" s="64"/>
      <c r="E28" s="67"/>
    </row>
    <row r="29" spans="1:7">
      <c r="C29" s="64" t="s">
        <v>155</v>
      </c>
      <c r="D29" s="66">
        <f>17000*20%</f>
        <v>3400</v>
      </c>
    </row>
    <row r="30" spans="1:7">
      <c r="C30" s="64" t="s">
        <v>156</v>
      </c>
      <c r="D30" s="66">
        <v>6400</v>
      </c>
    </row>
    <row r="31" spans="1:7">
      <c r="C31" s="64"/>
      <c r="D31" s="58">
        <f>+D29-D30</f>
        <v>-3000</v>
      </c>
    </row>
    <row r="32" spans="1:7">
      <c r="C32" s="64"/>
      <c r="D32" s="66"/>
    </row>
    <row r="34" spans="1:5">
      <c r="A34" s="56">
        <v>5</v>
      </c>
      <c r="B34" s="57" t="s">
        <v>137</v>
      </c>
    </row>
    <row r="37" spans="1:5">
      <c r="A37" s="56">
        <v>6</v>
      </c>
      <c r="B37" s="57" t="s">
        <v>148</v>
      </c>
      <c r="C37" s="56" t="s">
        <v>309</v>
      </c>
      <c r="D37" s="56">
        <f>15000*7%</f>
        <v>1050</v>
      </c>
    </row>
    <row r="38" spans="1:5">
      <c r="C38" s="56" t="s">
        <v>310</v>
      </c>
      <c r="D38" s="69">
        <f>20000*3%</f>
        <v>600</v>
      </c>
    </row>
    <row r="39" spans="1:5">
      <c r="D39" s="56">
        <f>+D38+D37</f>
        <v>1650</v>
      </c>
    </row>
    <row r="42" spans="1:5">
      <c r="A42" s="56">
        <v>7</v>
      </c>
      <c r="B42" s="57" t="s">
        <v>148</v>
      </c>
      <c r="E42" s="135" t="s">
        <v>314</v>
      </c>
    </row>
    <row r="43" spans="1:5">
      <c r="B43" s="56"/>
      <c r="D43" s="135">
        <v>2024</v>
      </c>
      <c r="E43" s="135">
        <v>2023</v>
      </c>
    </row>
    <row r="44" spans="1:5" ht="27.6">
      <c r="C44" s="70" t="s">
        <v>157</v>
      </c>
      <c r="D44" s="136">
        <v>5050000</v>
      </c>
      <c r="E44" s="136">
        <v>2850000</v>
      </c>
    </row>
    <row r="45" spans="1:5">
      <c r="C45" s="70" t="s">
        <v>158</v>
      </c>
      <c r="D45" s="58">
        <v>-680000</v>
      </c>
      <c r="E45" s="58">
        <v>-360000</v>
      </c>
    </row>
    <row r="46" spans="1:5" ht="27.6">
      <c r="C46" s="70" t="s">
        <v>159</v>
      </c>
      <c r="D46" s="136">
        <f>+D44+D45</f>
        <v>4370000</v>
      </c>
      <c r="E46" s="136">
        <f>+E44+E45</f>
        <v>2490000</v>
      </c>
    </row>
    <row r="47" spans="1:5">
      <c r="C47" s="72"/>
      <c r="D47" s="137"/>
      <c r="E47" s="135"/>
    </row>
    <row r="49" spans="1:7">
      <c r="C49" s="70" t="s">
        <v>160</v>
      </c>
      <c r="D49" s="71">
        <v>10000</v>
      </c>
      <c r="E49" s="71">
        <f>+D49</f>
        <v>10000</v>
      </c>
    </row>
    <row r="50" spans="1:7">
      <c r="C50" s="70" t="s">
        <v>161</v>
      </c>
      <c r="D50" s="71">
        <f>+D49/5</f>
        <v>2000</v>
      </c>
      <c r="E50" s="71">
        <f>+D50</f>
        <v>2000</v>
      </c>
    </row>
    <row r="51" spans="1:7" ht="27.6">
      <c r="C51" s="70" t="s">
        <v>162</v>
      </c>
      <c r="D51" s="71">
        <v>6000</v>
      </c>
      <c r="E51" s="71"/>
    </row>
    <row r="52" spans="1:7">
      <c r="D52" s="71"/>
      <c r="E52" s="71"/>
    </row>
    <row r="53" spans="1:7">
      <c r="C53" s="70" t="s">
        <v>163</v>
      </c>
      <c r="D53" s="71">
        <f>+D49+D50+D51/2</f>
        <v>15000</v>
      </c>
      <c r="E53" s="71">
        <f>+E49+E50</f>
        <v>12000</v>
      </c>
    </row>
    <row r="54" spans="1:7">
      <c r="D54" s="71"/>
      <c r="E54" s="71"/>
    </row>
    <row r="55" spans="1:7">
      <c r="C55" s="72" t="s">
        <v>164</v>
      </c>
      <c r="D55" s="71">
        <f>+D46/D53</f>
        <v>291.33333333333331</v>
      </c>
      <c r="E55" s="71">
        <f>+E46/E53</f>
        <v>207.5</v>
      </c>
    </row>
    <row r="56" spans="1:7">
      <c r="C56" s="72"/>
      <c r="D56" s="71"/>
      <c r="E56" s="71"/>
    </row>
    <row r="58" spans="1:7" ht="41.4">
      <c r="A58" s="57">
        <v>8</v>
      </c>
      <c r="B58" s="57" t="s">
        <v>137</v>
      </c>
      <c r="C58" s="70"/>
      <c r="D58" s="73" t="s">
        <v>165</v>
      </c>
      <c r="E58" s="73" t="s">
        <v>166</v>
      </c>
      <c r="F58" s="56" t="s">
        <v>95</v>
      </c>
      <c r="G58" s="74" t="s">
        <v>165</v>
      </c>
    </row>
    <row r="59" spans="1:7">
      <c r="C59" s="70" t="s">
        <v>167</v>
      </c>
      <c r="D59" s="75">
        <v>90000</v>
      </c>
      <c r="E59" s="75">
        <v>85000</v>
      </c>
      <c r="F59" s="60">
        <f>+D59-E59</f>
        <v>5000</v>
      </c>
      <c r="G59" s="65">
        <f>+D59-F59</f>
        <v>85000</v>
      </c>
    </row>
    <row r="60" spans="1:7">
      <c r="C60" s="70" t="s">
        <v>168</v>
      </c>
      <c r="D60" s="75">
        <v>40000</v>
      </c>
      <c r="E60" s="75">
        <v>42000</v>
      </c>
      <c r="F60" s="60">
        <v>0</v>
      </c>
      <c r="G60" s="65">
        <f>+D60-F60</f>
        <v>40000</v>
      </c>
    </row>
    <row r="61" spans="1:7">
      <c r="C61" s="70" t="s">
        <v>169</v>
      </c>
      <c r="D61" s="75">
        <v>58000</v>
      </c>
      <c r="E61" s="73" t="s">
        <v>170</v>
      </c>
      <c r="F61" s="60">
        <f>+D65-F59-F62</f>
        <v>15000</v>
      </c>
      <c r="G61" s="65">
        <f>+D61-F61</f>
        <v>43000</v>
      </c>
    </row>
    <row r="62" spans="1:7">
      <c r="C62" s="70" t="s">
        <v>171</v>
      </c>
      <c r="D62" s="75">
        <v>18000</v>
      </c>
      <c r="E62" s="73" t="s">
        <v>170</v>
      </c>
      <c r="F62" s="60">
        <f>+D62</f>
        <v>18000</v>
      </c>
      <c r="G62" s="65">
        <f>+D62-F62</f>
        <v>0</v>
      </c>
    </row>
    <row r="63" spans="1:7">
      <c r="D63" s="60">
        <f>SUM(D59:D62)</f>
        <v>206000</v>
      </c>
      <c r="G63" s="76">
        <f>SUM(G59:G62)</f>
        <v>168000</v>
      </c>
    </row>
    <row r="64" spans="1:7">
      <c r="C64" s="56" t="s">
        <v>172</v>
      </c>
      <c r="D64" s="60">
        <v>168000</v>
      </c>
      <c r="G64" s="67"/>
    </row>
    <row r="65" spans="3:6">
      <c r="C65" s="56" t="s">
        <v>95</v>
      </c>
      <c r="D65" s="60">
        <f>+D63-D64</f>
        <v>38000</v>
      </c>
      <c r="F65" s="65"/>
    </row>
    <row r="66" spans="3:6">
      <c r="F66" s="67"/>
    </row>
    <row r="72" spans="3:6">
      <c r="C72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activeCell="A29" sqref="A29"/>
    </sheetView>
  </sheetViews>
  <sheetFormatPr defaultRowHeight="14.4"/>
  <cols>
    <col min="1" max="1" width="147.77734375" customWidth="1"/>
  </cols>
  <sheetData>
    <row r="1" spans="1:1" ht="15">
      <c r="A1" s="8" t="s">
        <v>303</v>
      </c>
    </row>
    <row r="3" spans="1:1" ht="15.6">
      <c r="A3" s="77" t="s">
        <v>173</v>
      </c>
    </row>
    <row r="4" spans="1:1" ht="15">
      <c r="A4" s="78"/>
    </row>
    <row r="5" spans="1:1" ht="45">
      <c r="A5" s="78" t="s">
        <v>174</v>
      </c>
    </row>
    <row r="6" spans="1:1" ht="15.6">
      <c r="A6" s="79" t="s">
        <v>175</v>
      </c>
    </row>
    <row r="7" spans="1:1" ht="30">
      <c r="A7" s="78" t="s">
        <v>176</v>
      </c>
    </row>
    <row r="8" spans="1:1" ht="15">
      <c r="A8" s="78" t="s">
        <v>177</v>
      </c>
    </row>
    <row r="9" spans="1:1" ht="15">
      <c r="A9" s="80" t="s">
        <v>178</v>
      </c>
    </row>
    <row r="10" spans="1:1" ht="30">
      <c r="A10" s="78" t="s">
        <v>179</v>
      </c>
    </row>
    <row r="11" spans="1:1" ht="15">
      <c r="A11" s="80" t="s">
        <v>180</v>
      </c>
    </row>
    <row r="12" spans="1:1" ht="30">
      <c r="A12" s="78" t="s">
        <v>181</v>
      </c>
    </row>
    <row r="13" spans="1:1" ht="15.6">
      <c r="A13" s="79" t="s">
        <v>175</v>
      </c>
    </row>
    <row r="14" spans="1:1" ht="15.6">
      <c r="A14" s="79"/>
    </row>
    <row r="15" spans="1:1" ht="15">
      <c r="A15" s="78" t="s">
        <v>182</v>
      </c>
    </row>
    <row r="16" spans="1:1" ht="30">
      <c r="A16" s="78" t="s">
        <v>183</v>
      </c>
    </row>
    <row r="17" spans="1:1" ht="30">
      <c r="A17" s="78" t="s">
        <v>184</v>
      </c>
    </row>
    <row r="18" spans="1:1" ht="15">
      <c r="A18" s="80" t="s">
        <v>185</v>
      </c>
    </row>
    <row r="19" spans="1:1" ht="15">
      <c r="A19" s="80" t="s">
        <v>186</v>
      </c>
    </row>
    <row r="20" spans="1:1" ht="15">
      <c r="A20" s="80" t="s">
        <v>187</v>
      </c>
    </row>
    <row r="21" spans="1:1" ht="15.6">
      <c r="A21" s="79" t="s">
        <v>188</v>
      </c>
    </row>
    <row r="22" spans="1:1" ht="15">
      <c r="A22" s="78" t="s">
        <v>189</v>
      </c>
    </row>
    <row r="23" spans="1:1" ht="30">
      <c r="A23" s="78" t="s">
        <v>190</v>
      </c>
    </row>
    <row r="24" spans="1:1" ht="30">
      <c r="A24" s="78" t="s">
        <v>191</v>
      </c>
    </row>
    <row r="25" spans="1:1" ht="15.6">
      <c r="A25" s="79" t="s">
        <v>175</v>
      </c>
    </row>
    <row r="26" spans="1:1" ht="15">
      <c r="A26" s="78" t="s">
        <v>192</v>
      </c>
    </row>
    <row r="27" spans="1:1" ht="30">
      <c r="A27" s="78" t="s">
        <v>193</v>
      </c>
    </row>
    <row r="28" spans="1:1" ht="45">
      <c r="A28" s="78" t="s">
        <v>194</v>
      </c>
    </row>
    <row r="29" spans="1:1" ht="15.6">
      <c r="A29" s="79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0"/>
  <sheetViews>
    <sheetView topLeftCell="A135" workbookViewId="0">
      <selection activeCell="A84" sqref="A84"/>
    </sheetView>
  </sheetViews>
  <sheetFormatPr defaultColWidth="8.77734375" defaultRowHeight="15"/>
  <cols>
    <col min="1" max="1" width="77.21875" style="10" customWidth="1"/>
    <col min="2" max="2" width="13.33203125" style="9" customWidth="1"/>
    <col min="3" max="3" width="9.109375" style="9" bestFit="1" customWidth="1"/>
    <col min="4" max="4" width="11.5546875" style="9" bestFit="1" customWidth="1"/>
    <col min="5" max="5" width="12.33203125" style="10" bestFit="1" customWidth="1"/>
    <col min="6" max="6" width="10.77734375" style="10" bestFit="1" customWidth="1"/>
    <col min="7" max="7" width="13.88671875" style="10" bestFit="1" customWidth="1"/>
    <col min="8" max="8" width="4.21875" style="10" customWidth="1"/>
    <col min="9" max="9" width="8.77734375" style="8"/>
    <col min="10" max="16384" width="8.77734375" style="10"/>
  </cols>
  <sheetData>
    <row r="1" spans="1:13">
      <c r="A1" s="8" t="s">
        <v>135</v>
      </c>
    </row>
    <row r="2" spans="1:13">
      <c r="A2" s="8"/>
    </row>
    <row r="3" spans="1:13" ht="45">
      <c r="A3" s="11" t="s">
        <v>19</v>
      </c>
    </row>
    <row r="4" spans="1:13" ht="15" customHeight="1">
      <c r="A4" s="12" t="s">
        <v>20</v>
      </c>
      <c r="F4" s="13" t="s">
        <v>21</v>
      </c>
      <c r="G4" s="13" t="s">
        <v>22</v>
      </c>
    </row>
    <row r="5" spans="1:13" ht="15" customHeight="1" thickBot="1">
      <c r="A5" s="12"/>
      <c r="B5" s="14" t="s">
        <v>23</v>
      </c>
      <c r="D5" s="14" t="s">
        <v>24</v>
      </c>
      <c r="G5" s="14"/>
      <c r="M5" s="9"/>
    </row>
    <row r="6" spans="1:13">
      <c r="A6" s="15" t="s">
        <v>25</v>
      </c>
      <c r="B6" s="16">
        <v>19800</v>
      </c>
      <c r="C6" s="17"/>
      <c r="D6" s="16">
        <v>10100</v>
      </c>
      <c r="E6" s="10" t="s">
        <v>26</v>
      </c>
      <c r="F6" s="18">
        <f>-B112</f>
        <v>-18000</v>
      </c>
      <c r="G6" s="16">
        <f>+B6+D6/2+F6</f>
        <v>6850</v>
      </c>
      <c r="I6" s="13">
        <v>2</v>
      </c>
      <c r="J6" s="13" t="s">
        <v>27</v>
      </c>
      <c r="L6" s="18"/>
    </row>
    <row r="7" spans="1:13" ht="15.6" thickBot="1">
      <c r="A7" s="15" t="s">
        <v>28</v>
      </c>
      <c r="B7" s="19">
        <v>-8000</v>
      </c>
      <c r="C7" s="17"/>
      <c r="D7" s="19">
        <v>-4800</v>
      </c>
      <c r="E7" s="10" t="s">
        <v>26</v>
      </c>
      <c r="F7" s="20">
        <f>-B113</f>
        <v>16500</v>
      </c>
      <c r="G7" s="19">
        <f>+B7+D7/2+F7</f>
        <v>6100</v>
      </c>
      <c r="I7" s="13">
        <v>2</v>
      </c>
      <c r="J7" s="13" t="s">
        <v>27</v>
      </c>
    </row>
    <row r="8" spans="1:13">
      <c r="A8" s="21" t="s">
        <v>29</v>
      </c>
      <c r="B8" s="22">
        <f>+B6+B7</f>
        <v>11800</v>
      </c>
      <c r="C8" s="23"/>
      <c r="D8" s="22">
        <f>+D6+D7</f>
        <v>5300</v>
      </c>
      <c r="F8" s="18">
        <f>SUM(F6:F7)</f>
        <v>-1500</v>
      </c>
      <c r="G8" s="22">
        <f>+G6+G7</f>
        <v>12950</v>
      </c>
    </row>
    <row r="9" spans="1:13">
      <c r="A9" s="15" t="s">
        <v>30</v>
      </c>
      <c r="B9" s="16">
        <v>-1750</v>
      </c>
      <c r="C9" s="17"/>
      <c r="D9" s="16">
        <v>-1600</v>
      </c>
      <c r="E9" s="10" t="s">
        <v>31</v>
      </c>
      <c r="F9" s="18">
        <f>+C90</f>
        <v>-419.97466447991758</v>
      </c>
      <c r="G9" s="16">
        <f>+B9+D9/2+F9</f>
        <v>-2969.9746644799175</v>
      </c>
      <c r="I9" s="13">
        <v>0.5</v>
      </c>
      <c r="J9" s="13" t="s">
        <v>27</v>
      </c>
    </row>
    <row r="10" spans="1:13">
      <c r="A10" s="15" t="s">
        <v>32</v>
      </c>
      <c r="B10" s="16">
        <v>-1200</v>
      </c>
      <c r="C10" s="17"/>
      <c r="D10" s="16">
        <v>-250</v>
      </c>
      <c r="E10" s="10" t="s">
        <v>33</v>
      </c>
      <c r="F10" s="18">
        <f>+B105</f>
        <v>-475</v>
      </c>
      <c r="G10" s="16">
        <f>+B10+D10/2+F10</f>
        <v>-1800</v>
      </c>
      <c r="I10" s="13">
        <v>1</v>
      </c>
      <c r="J10" s="13" t="s">
        <v>27</v>
      </c>
    </row>
    <row r="11" spans="1:13">
      <c r="A11" s="15" t="s">
        <v>34</v>
      </c>
      <c r="B11" s="16">
        <v>2600</v>
      </c>
      <c r="C11" s="17"/>
      <c r="D11" s="16">
        <v>0</v>
      </c>
      <c r="F11" s="18"/>
      <c r="G11" s="16">
        <f>+B11+D11/2+F11</f>
        <v>2600</v>
      </c>
      <c r="I11" s="13">
        <v>0.5</v>
      </c>
      <c r="J11" s="13" t="s">
        <v>27</v>
      </c>
    </row>
    <row r="12" spans="1:13">
      <c r="A12" s="15" t="s">
        <v>35</v>
      </c>
      <c r="B12" s="16">
        <v>0</v>
      </c>
      <c r="C12" s="17"/>
      <c r="D12" s="16"/>
      <c r="E12" s="10" t="s">
        <v>36</v>
      </c>
      <c r="F12" s="24">
        <f>-B95</f>
        <v>-329.98986579196708</v>
      </c>
      <c r="G12" s="16">
        <f>+B12+D12/2+F12</f>
        <v>-329.98986579196708</v>
      </c>
      <c r="I12" s="13">
        <v>1</v>
      </c>
      <c r="J12" s="13" t="s">
        <v>27</v>
      </c>
    </row>
    <row r="13" spans="1:13">
      <c r="A13" s="15" t="s">
        <v>37</v>
      </c>
      <c r="B13" s="16">
        <v>-150</v>
      </c>
      <c r="C13" s="17"/>
      <c r="D13" s="16"/>
      <c r="E13" s="10" t="s">
        <v>38</v>
      </c>
      <c r="F13" s="24">
        <f>+B122</f>
        <v>150</v>
      </c>
      <c r="G13" s="16">
        <f>+B13+D13/2+F13</f>
        <v>0</v>
      </c>
      <c r="I13" s="13">
        <v>0.5</v>
      </c>
      <c r="J13" s="13" t="s">
        <v>27</v>
      </c>
    </row>
    <row r="14" spans="1:13">
      <c r="A14" s="15" t="s">
        <v>39</v>
      </c>
      <c r="B14" s="25">
        <v>1800</v>
      </c>
      <c r="C14" s="17"/>
      <c r="D14" s="25">
        <v>0</v>
      </c>
      <c r="E14" s="10" t="s">
        <v>40</v>
      </c>
      <c r="F14" s="18">
        <f>-B99</f>
        <v>-1800</v>
      </c>
      <c r="G14" s="25">
        <f>+F14+B14</f>
        <v>0</v>
      </c>
      <c r="I14" s="13">
        <v>1</v>
      </c>
      <c r="J14" s="13" t="s">
        <v>27</v>
      </c>
    </row>
    <row r="15" spans="1:13">
      <c r="A15" s="15" t="s">
        <v>41</v>
      </c>
      <c r="B15" s="26">
        <f>+SUM(B8:B14)</f>
        <v>13100</v>
      </c>
      <c r="D15" s="26">
        <f>+SUM(D8:D14)</f>
        <v>3450</v>
      </c>
      <c r="G15" s="26">
        <f>SUM(G8:G14)</f>
        <v>10450.035469728115</v>
      </c>
      <c r="I15" s="13"/>
      <c r="J15" s="13"/>
    </row>
    <row r="16" spans="1:13">
      <c r="A16" s="15" t="s">
        <v>42</v>
      </c>
      <c r="B16" s="27">
        <v>-1800</v>
      </c>
      <c r="D16" s="27">
        <v>-350</v>
      </c>
      <c r="G16" s="25">
        <f>+B16+D16/2</f>
        <v>-1975</v>
      </c>
      <c r="I16" s="13">
        <v>0.5</v>
      </c>
      <c r="J16" s="13" t="s">
        <v>27</v>
      </c>
    </row>
    <row r="17" spans="1:10">
      <c r="A17" s="15" t="s">
        <v>43</v>
      </c>
      <c r="B17" s="26">
        <f>+B16+B15</f>
        <v>11300</v>
      </c>
      <c r="D17" s="26">
        <f>+D15+D16</f>
        <v>3100</v>
      </c>
      <c r="G17" s="26">
        <f>+G16+G15</f>
        <v>8475.0354697281145</v>
      </c>
      <c r="I17" s="13"/>
      <c r="J17" s="13"/>
    </row>
    <row r="18" spans="1:10">
      <c r="A18" s="15"/>
      <c r="B18" s="26"/>
      <c r="D18" s="26"/>
      <c r="G18" s="26"/>
      <c r="I18" s="13"/>
      <c r="J18" s="13"/>
    </row>
    <row r="19" spans="1:10" ht="30">
      <c r="A19" s="28" t="s">
        <v>44</v>
      </c>
      <c r="B19" s="26"/>
      <c r="D19" s="26"/>
      <c r="E19" s="10" t="s">
        <v>45</v>
      </c>
      <c r="G19" s="26">
        <f>+C141*0.4</f>
        <v>262.01013420803304</v>
      </c>
      <c r="I19" s="13">
        <v>2</v>
      </c>
      <c r="J19" s="13" t="s">
        <v>27</v>
      </c>
    </row>
    <row r="20" spans="1:10" ht="45">
      <c r="A20" s="28" t="s">
        <v>46</v>
      </c>
      <c r="B20" s="26"/>
      <c r="D20" s="26"/>
      <c r="G20" s="26">
        <f>+G17-G19</f>
        <v>8213.0253355200821</v>
      </c>
      <c r="I20" s="13">
        <v>1.5</v>
      </c>
      <c r="J20" s="13" t="s">
        <v>27</v>
      </c>
    </row>
    <row r="21" spans="1:10">
      <c r="A21" s="15"/>
      <c r="B21" s="26"/>
      <c r="D21" s="26"/>
      <c r="G21" s="26"/>
      <c r="I21" s="13"/>
      <c r="J21" s="13"/>
    </row>
    <row r="22" spans="1:10">
      <c r="A22" s="29"/>
      <c r="B22" s="26"/>
      <c r="D22" s="26"/>
      <c r="G22" s="26"/>
      <c r="I22" s="13"/>
      <c r="J22" s="13"/>
    </row>
    <row r="23" spans="1:10">
      <c r="A23" s="15" t="s">
        <v>47</v>
      </c>
      <c r="B23" s="30"/>
      <c r="D23" s="26"/>
      <c r="G23" s="26"/>
    </row>
    <row r="24" spans="1:10">
      <c r="A24" s="15" t="s">
        <v>48</v>
      </c>
      <c r="B24" s="27">
        <v>6000</v>
      </c>
      <c r="D24" s="27">
        <v>1800</v>
      </c>
      <c r="G24" s="27">
        <f>+B24+F24+D24</f>
        <v>7800</v>
      </c>
      <c r="I24" s="13">
        <v>1.5</v>
      </c>
      <c r="J24" s="13" t="s">
        <v>27</v>
      </c>
    </row>
    <row r="25" spans="1:10">
      <c r="B25" s="31">
        <f>+B24+B17</f>
        <v>17300</v>
      </c>
      <c r="C25" s="32"/>
      <c r="D25" s="31">
        <f>+D24+D17</f>
        <v>4900</v>
      </c>
      <c r="G25" s="31">
        <f>+G24+G17</f>
        <v>16275.035469728115</v>
      </c>
      <c r="I25" s="13"/>
      <c r="J25" s="13"/>
    </row>
    <row r="26" spans="1:10">
      <c r="A26" s="28" t="s">
        <v>49</v>
      </c>
    </row>
    <row r="27" spans="1:10" ht="30">
      <c r="A27" s="28" t="s">
        <v>44</v>
      </c>
      <c r="E27" s="10" t="s">
        <v>45</v>
      </c>
      <c r="G27" s="33">
        <f>+G19+B126</f>
        <v>982.01013420803304</v>
      </c>
      <c r="I27" s="13">
        <v>0.5</v>
      </c>
      <c r="J27" s="13" t="s">
        <v>27</v>
      </c>
    </row>
    <row r="28" spans="1:10" ht="45">
      <c r="A28" s="28" t="s">
        <v>46</v>
      </c>
      <c r="G28" s="34">
        <f>+G25-G27</f>
        <v>15293.025335520082</v>
      </c>
      <c r="I28" s="13">
        <v>0.5</v>
      </c>
      <c r="J28" s="13" t="s">
        <v>27</v>
      </c>
    </row>
    <row r="29" spans="1:10">
      <c r="G29" s="33">
        <f>+G28+G27</f>
        <v>16275.035469728115</v>
      </c>
      <c r="I29" s="13"/>
      <c r="J29" s="13"/>
    </row>
    <row r="30" spans="1:10">
      <c r="I30" s="13"/>
      <c r="J30" s="13"/>
    </row>
    <row r="31" spans="1:10">
      <c r="A31" s="8" t="s">
        <v>50</v>
      </c>
      <c r="I31" s="13"/>
      <c r="J31" s="13"/>
    </row>
    <row r="32" spans="1:10">
      <c r="I32" s="13"/>
      <c r="J32" s="13"/>
    </row>
    <row r="33" spans="1:10">
      <c r="A33" s="12" t="s">
        <v>20</v>
      </c>
      <c r="B33" s="23"/>
      <c r="C33" s="23"/>
      <c r="D33" s="23"/>
    </row>
    <row r="34" spans="1:10" ht="30.6" thickBot="1">
      <c r="A34" s="21"/>
      <c r="B34" s="14" t="s">
        <v>23</v>
      </c>
      <c r="D34" s="14" t="s">
        <v>24</v>
      </c>
      <c r="F34" s="13" t="s">
        <v>21</v>
      </c>
      <c r="G34" s="13" t="s">
        <v>22</v>
      </c>
    </row>
    <row r="35" spans="1:10">
      <c r="A35" s="21" t="s">
        <v>51</v>
      </c>
      <c r="B35" s="17"/>
      <c r="C35" s="17"/>
      <c r="D35" s="17"/>
    </row>
    <row r="36" spans="1:10">
      <c r="A36" s="21" t="s">
        <v>52</v>
      </c>
      <c r="B36" s="17"/>
      <c r="C36" s="17"/>
      <c r="D36" s="17"/>
      <c r="F36" s="18"/>
    </row>
    <row r="37" spans="1:10">
      <c r="A37" s="21" t="s">
        <v>53</v>
      </c>
      <c r="B37" s="35">
        <v>20250</v>
      </c>
      <c r="C37" s="23"/>
      <c r="D37" s="35">
        <f>6800+16000</f>
        <v>22800</v>
      </c>
      <c r="E37" s="10" t="s">
        <v>33</v>
      </c>
      <c r="F37" s="18">
        <f>+B106</f>
        <v>18525</v>
      </c>
      <c r="G37" s="18">
        <f>+B37+D37+F37</f>
        <v>61575</v>
      </c>
      <c r="I37" s="13">
        <v>1</v>
      </c>
      <c r="J37" s="13" t="s">
        <v>27</v>
      </c>
    </row>
    <row r="38" spans="1:10">
      <c r="A38" s="15" t="s">
        <v>54</v>
      </c>
      <c r="B38" s="35">
        <v>15000</v>
      </c>
      <c r="C38" s="23"/>
      <c r="D38" s="35">
        <v>10400</v>
      </c>
      <c r="G38" s="18">
        <f>+B38+D38+F38</f>
        <v>25400</v>
      </c>
      <c r="I38" s="13">
        <v>0.25</v>
      </c>
      <c r="J38" s="13" t="s">
        <v>27</v>
      </c>
    </row>
    <row r="39" spans="1:10">
      <c r="A39" s="15" t="s">
        <v>55</v>
      </c>
      <c r="B39" s="35"/>
      <c r="C39" s="23"/>
      <c r="D39" s="35"/>
      <c r="E39" s="10" t="s">
        <v>31</v>
      </c>
      <c r="F39" s="18">
        <f>+C91</f>
        <v>3779.7719803192581</v>
      </c>
      <c r="G39" s="18">
        <f>+F39</f>
        <v>3779.7719803192581</v>
      </c>
      <c r="I39" s="13">
        <v>2</v>
      </c>
      <c r="J39" s="13" t="s">
        <v>27</v>
      </c>
    </row>
    <row r="40" spans="1:10">
      <c r="A40" s="15" t="s">
        <v>56</v>
      </c>
      <c r="B40" s="35">
        <f>20000-150</f>
        <v>19850</v>
      </c>
      <c r="C40" s="23"/>
      <c r="D40" s="35"/>
      <c r="F40" s="18">
        <f>-B121+B122</f>
        <v>-19850</v>
      </c>
      <c r="G40" s="36">
        <f>+B40+F40</f>
        <v>0</v>
      </c>
      <c r="I40" s="13">
        <v>1</v>
      </c>
      <c r="J40" s="13" t="s">
        <v>27</v>
      </c>
    </row>
    <row r="41" spans="1:10" ht="15.6" thickBot="1">
      <c r="A41" s="15" t="s">
        <v>57</v>
      </c>
      <c r="B41" s="37">
        <f>25000+12000</f>
        <v>37000</v>
      </c>
      <c r="C41" s="17"/>
      <c r="D41" s="37"/>
      <c r="G41" s="38">
        <v>0</v>
      </c>
    </row>
    <row r="42" spans="1:10">
      <c r="A42" s="15" t="s">
        <v>58</v>
      </c>
      <c r="B42" s="39">
        <f>SUM(B37:B41)</f>
        <v>92100</v>
      </c>
      <c r="C42" s="17"/>
      <c r="D42" s="39">
        <f>SUM(D37:D41)</f>
        <v>33200</v>
      </c>
      <c r="G42" s="39">
        <f>SUM(G37:G41)</f>
        <v>90754.771980319259</v>
      </c>
    </row>
    <row r="43" spans="1:10">
      <c r="A43" s="15"/>
      <c r="B43" s="17"/>
      <c r="C43" s="17"/>
      <c r="D43" s="17"/>
      <c r="G43" s="18"/>
    </row>
    <row r="44" spans="1:10">
      <c r="A44" s="21" t="s">
        <v>59</v>
      </c>
      <c r="B44" s="17"/>
      <c r="C44" s="17"/>
      <c r="D44" s="17"/>
      <c r="G44" s="18"/>
    </row>
    <row r="45" spans="1:10">
      <c r="A45" s="15" t="s">
        <v>60</v>
      </c>
      <c r="B45" s="35">
        <v>18400</v>
      </c>
      <c r="C45" s="17"/>
      <c r="D45" s="35">
        <f>8000+13200</f>
        <v>21200</v>
      </c>
      <c r="E45" s="10" t="s">
        <v>61</v>
      </c>
      <c r="F45" s="18">
        <f>-B115</f>
        <v>-1500</v>
      </c>
      <c r="G45" s="18">
        <f>+B45+D45+F45</f>
        <v>38100</v>
      </c>
      <c r="I45" s="13">
        <v>1.5</v>
      </c>
      <c r="J45" s="13" t="s">
        <v>27</v>
      </c>
    </row>
    <row r="46" spans="1:10">
      <c r="A46" s="15" t="s">
        <v>62</v>
      </c>
      <c r="B46" s="35">
        <v>20500</v>
      </c>
      <c r="C46" s="17"/>
      <c r="D46" s="35">
        <v>12000</v>
      </c>
      <c r="E46" s="10" t="s">
        <v>61</v>
      </c>
      <c r="F46" s="18">
        <f>+F65-B116</f>
        <v>-9800</v>
      </c>
      <c r="G46" s="18">
        <f>+B46+D46+F46</f>
        <v>22700</v>
      </c>
      <c r="I46" s="13">
        <v>1</v>
      </c>
      <c r="J46" s="13" t="s">
        <v>27</v>
      </c>
    </row>
    <row r="47" spans="1:10" ht="15.6" thickBot="1">
      <c r="A47" s="15" t="s">
        <v>63</v>
      </c>
      <c r="B47" s="37">
        <v>6900</v>
      </c>
      <c r="C47" s="17"/>
      <c r="D47" s="37">
        <v>9800</v>
      </c>
      <c r="G47" s="19">
        <f>+B47+D47</f>
        <v>16700</v>
      </c>
      <c r="I47" s="13">
        <v>0.25</v>
      </c>
      <c r="J47" s="13" t="s">
        <v>27</v>
      </c>
    </row>
    <row r="48" spans="1:10" ht="15.6" thickBot="1">
      <c r="A48" s="15"/>
      <c r="B48" s="40">
        <f>SUM(B45:B47)</f>
        <v>45800</v>
      </c>
      <c r="C48" s="17"/>
      <c r="D48" s="40">
        <f>SUM(D45:D47)</f>
        <v>43000</v>
      </c>
      <c r="G48" s="40">
        <f>SUM(G45:G47)</f>
        <v>77500</v>
      </c>
    </row>
    <row r="49" spans="1:10">
      <c r="A49" s="21" t="s">
        <v>64</v>
      </c>
      <c r="B49" s="39">
        <f>+B48+B42</f>
        <v>137900</v>
      </c>
      <c r="C49" s="17"/>
      <c r="D49" s="39">
        <f>+D48+D42</f>
        <v>76200</v>
      </c>
      <c r="G49" s="39">
        <f>+G48+G42</f>
        <v>168254.77198031926</v>
      </c>
    </row>
    <row r="50" spans="1:10">
      <c r="A50" s="15"/>
      <c r="B50" s="23"/>
      <c r="C50" s="17"/>
      <c r="D50" s="17"/>
    </row>
    <row r="51" spans="1:10">
      <c r="A51" s="21" t="s">
        <v>65</v>
      </c>
      <c r="B51" s="17"/>
      <c r="C51" s="17"/>
      <c r="D51" s="17"/>
    </row>
    <row r="52" spans="1:10">
      <c r="A52" s="21" t="s">
        <v>66</v>
      </c>
      <c r="B52" s="17"/>
      <c r="C52" s="17"/>
      <c r="D52" s="17"/>
    </row>
    <row r="53" spans="1:10">
      <c r="A53" s="15" t="s">
        <v>67</v>
      </c>
      <c r="B53" s="35">
        <v>60000</v>
      </c>
      <c r="C53" s="17"/>
      <c r="D53" s="16">
        <v>24000</v>
      </c>
      <c r="G53" s="24">
        <f>+B53</f>
        <v>60000</v>
      </c>
      <c r="I53" s="13">
        <v>0.25</v>
      </c>
      <c r="J53" s="13" t="s">
        <v>27</v>
      </c>
    </row>
    <row r="54" spans="1:10">
      <c r="A54" s="15" t="s">
        <v>68</v>
      </c>
      <c r="B54" s="35">
        <v>8000</v>
      </c>
      <c r="C54" s="17"/>
      <c r="D54" s="16">
        <v>8550</v>
      </c>
      <c r="F54" s="18"/>
      <c r="G54" s="24">
        <f>+B54</f>
        <v>8000</v>
      </c>
      <c r="I54" s="13">
        <v>0.25</v>
      </c>
      <c r="J54" s="13" t="s">
        <v>27</v>
      </c>
    </row>
    <row r="55" spans="1:10">
      <c r="A55" s="41" t="s">
        <v>69</v>
      </c>
      <c r="B55" s="35">
        <v>6000</v>
      </c>
      <c r="C55" s="17"/>
      <c r="D55" s="16">
        <v>1800</v>
      </c>
      <c r="E55" s="10" t="s">
        <v>70</v>
      </c>
      <c r="F55" s="18">
        <f>+B127</f>
        <v>1080</v>
      </c>
      <c r="G55" s="24">
        <f>+B55+F55</f>
        <v>7080</v>
      </c>
      <c r="I55" s="13">
        <v>0.5</v>
      </c>
      <c r="J55" s="13" t="s">
        <v>27</v>
      </c>
    </row>
    <row r="56" spans="1:10">
      <c r="A56" s="41" t="s">
        <v>71</v>
      </c>
      <c r="B56" s="35">
        <v>30200</v>
      </c>
      <c r="C56" s="17"/>
      <c r="D56" s="42">
        <v>7250</v>
      </c>
      <c r="E56" s="10" t="s">
        <v>72</v>
      </c>
      <c r="G56" s="24">
        <f>+B143</f>
        <v>27113.025335520084</v>
      </c>
      <c r="I56" s="13">
        <v>2</v>
      </c>
      <c r="J56" s="13" t="s">
        <v>27</v>
      </c>
    </row>
    <row r="57" spans="1:10" ht="15.6" thickBot="1">
      <c r="A57" s="41" t="s">
        <v>73</v>
      </c>
      <c r="B57" s="43"/>
      <c r="C57" s="17"/>
      <c r="D57" s="25"/>
      <c r="E57" s="10" t="s">
        <v>45</v>
      </c>
      <c r="G57" s="37">
        <f>+B150</f>
        <v>18982.010134208034</v>
      </c>
      <c r="I57" s="13">
        <v>2</v>
      </c>
      <c r="J57" s="13" t="s">
        <v>27</v>
      </c>
    </row>
    <row r="58" spans="1:10">
      <c r="A58" s="21"/>
      <c r="B58" s="44">
        <f>SUM(B53:B56)</f>
        <v>104200</v>
      </c>
      <c r="C58" s="17"/>
      <c r="D58" s="44">
        <f>SUM(D53:D56)</f>
        <v>41600</v>
      </c>
      <c r="G58" s="39">
        <f>SUM(G53:G57)</f>
        <v>121175.03546972811</v>
      </c>
      <c r="I58" s="13"/>
    </row>
    <row r="59" spans="1:10">
      <c r="A59" s="15"/>
      <c r="B59" s="17"/>
      <c r="C59" s="17"/>
      <c r="D59" s="17"/>
      <c r="I59" s="13"/>
    </row>
    <row r="60" spans="1:10">
      <c r="A60" s="21" t="s">
        <v>74</v>
      </c>
      <c r="B60" s="23"/>
      <c r="C60" s="17"/>
      <c r="D60" s="23"/>
      <c r="I60" s="13"/>
    </row>
    <row r="61" spans="1:10">
      <c r="A61" s="45" t="s">
        <v>75</v>
      </c>
      <c r="B61" s="35">
        <v>5000</v>
      </c>
      <c r="C61" s="17"/>
      <c r="D61" s="16">
        <v>20000</v>
      </c>
      <c r="E61" s="10" t="s">
        <v>38</v>
      </c>
      <c r="F61" s="18">
        <f>-B121</f>
        <v>-20000</v>
      </c>
      <c r="G61" s="18">
        <f>+B61+D61+F61</f>
        <v>5000</v>
      </c>
      <c r="I61" s="13">
        <v>0.5</v>
      </c>
      <c r="J61" s="13" t="s">
        <v>27</v>
      </c>
    </row>
    <row r="62" spans="1:10">
      <c r="A62" s="45" t="s">
        <v>76</v>
      </c>
      <c r="B62" s="35"/>
      <c r="C62" s="17"/>
      <c r="D62" s="16"/>
      <c r="E62" s="10" t="s">
        <v>77</v>
      </c>
      <c r="F62" s="18">
        <f>+B77+B95</f>
        <v>8579.7365105911449</v>
      </c>
      <c r="G62" s="18">
        <f>+F62</f>
        <v>8579.7365105911449</v>
      </c>
      <c r="I62" s="13">
        <v>1</v>
      </c>
      <c r="J62" s="13" t="s">
        <v>27</v>
      </c>
    </row>
    <row r="63" spans="1:10">
      <c r="A63" s="21" t="s">
        <v>78</v>
      </c>
      <c r="B63" s="35"/>
      <c r="C63" s="17"/>
      <c r="D63" s="16"/>
      <c r="I63" s="13"/>
    </row>
    <row r="64" spans="1:10">
      <c r="A64" s="45" t="s">
        <v>79</v>
      </c>
      <c r="B64" s="16">
        <v>4200</v>
      </c>
      <c r="C64" s="17"/>
      <c r="D64" s="16">
        <v>400</v>
      </c>
      <c r="G64" s="18">
        <f>+B64+D64</f>
        <v>4600</v>
      </c>
      <c r="I64" s="13">
        <v>0.25</v>
      </c>
      <c r="J64" s="13" t="s">
        <v>27</v>
      </c>
    </row>
    <row r="65" spans="1:10">
      <c r="A65" s="45" t="s">
        <v>80</v>
      </c>
      <c r="B65" s="16">
        <v>0</v>
      </c>
      <c r="C65" s="17"/>
      <c r="D65" s="16">
        <v>3000</v>
      </c>
      <c r="E65" s="10" t="s">
        <v>40</v>
      </c>
      <c r="F65" s="18">
        <f>-B99</f>
        <v>-1800</v>
      </c>
      <c r="G65" s="18">
        <f>+B65+D65+F65</f>
        <v>1200</v>
      </c>
      <c r="I65" s="13">
        <v>0.75</v>
      </c>
      <c r="J65" s="13" t="s">
        <v>27</v>
      </c>
    </row>
    <row r="66" spans="1:10">
      <c r="A66" s="45" t="s">
        <v>81</v>
      </c>
      <c r="B66" s="25">
        <v>24500</v>
      </c>
      <c r="C66" s="17"/>
      <c r="D66" s="25">
        <f>8000+3200</f>
        <v>11200</v>
      </c>
      <c r="E66" s="10" t="s">
        <v>26</v>
      </c>
      <c r="F66" s="18">
        <f>-B116</f>
        <v>-8000</v>
      </c>
      <c r="G66" s="20">
        <f>+B66+D66+F66</f>
        <v>27700</v>
      </c>
      <c r="I66" s="13">
        <v>0.5</v>
      </c>
      <c r="J66" s="13" t="s">
        <v>27</v>
      </c>
    </row>
    <row r="67" spans="1:10">
      <c r="A67" s="21"/>
      <c r="B67" s="22">
        <f>SUM(B61:B66)</f>
        <v>33700</v>
      </c>
      <c r="C67" s="17"/>
      <c r="D67" s="22">
        <f>SUM(D61:D66)</f>
        <v>34600</v>
      </c>
      <c r="G67" s="44">
        <f>SUM(G61:G66)</f>
        <v>47079.736510591145</v>
      </c>
      <c r="I67" s="13"/>
    </row>
    <row r="68" spans="1:10">
      <c r="B68" s="30"/>
      <c r="I68" s="13"/>
    </row>
    <row r="69" spans="1:10">
      <c r="A69" s="21" t="s">
        <v>82</v>
      </c>
      <c r="B69" s="26">
        <f>+B67+B58</f>
        <v>137900</v>
      </c>
      <c r="D69" s="46">
        <f>+D67+D58</f>
        <v>76200</v>
      </c>
      <c r="G69" s="46">
        <f>+G67+G58</f>
        <v>168254.77198031926</v>
      </c>
      <c r="I69" s="13"/>
    </row>
    <row r="70" spans="1:10">
      <c r="I70" s="13"/>
    </row>
    <row r="71" spans="1:10">
      <c r="B71" s="47"/>
      <c r="I71" s="13">
        <f>SUM(I6:I70)</f>
        <v>30</v>
      </c>
      <c r="J71" s="13" t="s">
        <v>27</v>
      </c>
    </row>
    <row r="72" spans="1:10">
      <c r="A72" s="10" t="s">
        <v>300</v>
      </c>
      <c r="B72" s="123" t="s">
        <v>301</v>
      </c>
      <c r="D72" s="47"/>
      <c r="G72" s="48"/>
    </row>
    <row r="73" spans="1:10">
      <c r="A73" s="10" t="s">
        <v>299</v>
      </c>
      <c r="B73" s="124" t="s">
        <v>302</v>
      </c>
    </row>
    <row r="74" spans="1:10">
      <c r="A74" s="8" t="s">
        <v>83</v>
      </c>
      <c r="B74" s="10"/>
      <c r="C74" s="10"/>
    </row>
    <row r="75" spans="1:10">
      <c r="A75" s="8" t="s">
        <v>84</v>
      </c>
      <c r="B75" s="10"/>
      <c r="C75" s="10"/>
    </row>
    <row r="76" spans="1:10">
      <c r="A76" s="10" t="s">
        <v>85</v>
      </c>
      <c r="B76" s="24">
        <v>25000</v>
      </c>
      <c r="C76" s="10"/>
    </row>
    <row r="77" spans="1:10">
      <c r="A77" s="10" t="s">
        <v>298</v>
      </c>
      <c r="B77" s="50">
        <f>10000/(1+0.08)^2.5</f>
        <v>8249.7466447991774</v>
      </c>
      <c r="C77" s="10"/>
    </row>
    <row r="78" spans="1:10">
      <c r="A78" s="10" t="s">
        <v>86</v>
      </c>
      <c r="B78" s="49">
        <f>3000*4</f>
        <v>12000</v>
      </c>
      <c r="C78" s="10"/>
    </row>
    <row r="79" spans="1:10">
      <c r="B79" s="50">
        <f>SUM(B76:B78)</f>
        <v>45249.746644799176</v>
      </c>
      <c r="C79" s="10"/>
    </row>
    <row r="80" spans="1:10">
      <c r="A80" s="10" t="s">
        <v>87</v>
      </c>
      <c r="B80" s="33">
        <f>24000*1*40%*2</f>
        <v>19200</v>
      </c>
      <c r="C80" s="10"/>
    </row>
    <row r="81" spans="1:3">
      <c r="C81" s="34">
        <f>+B80+B79</f>
        <v>64449.746644799176</v>
      </c>
    </row>
    <row r="82" spans="1:3">
      <c r="A82" s="10" t="s">
        <v>88</v>
      </c>
      <c r="B82" s="18">
        <f>+D53</f>
        <v>24000</v>
      </c>
      <c r="C82" s="10"/>
    </row>
    <row r="83" spans="1:3">
      <c r="A83" s="51" t="s">
        <v>89</v>
      </c>
      <c r="B83" s="18">
        <f>+D54</f>
        <v>8550</v>
      </c>
      <c r="C83" s="10"/>
    </row>
    <row r="84" spans="1:3" ht="30">
      <c r="A84" s="52" t="s">
        <v>90</v>
      </c>
      <c r="B84" s="18">
        <f>7150+D17/2</f>
        <v>8700</v>
      </c>
      <c r="C84" s="10"/>
    </row>
    <row r="85" spans="1:3">
      <c r="B85" s="18"/>
      <c r="C85" s="10"/>
    </row>
    <row r="86" spans="1:3">
      <c r="A86" s="8" t="s">
        <v>91</v>
      </c>
      <c r="B86" s="10"/>
      <c r="C86" s="10"/>
    </row>
    <row r="87" spans="1:3">
      <c r="A87" s="10" t="s">
        <v>92</v>
      </c>
      <c r="B87" s="24">
        <v>19000</v>
      </c>
      <c r="C87" s="10"/>
    </row>
    <row r="88" spans="1:3">
      <c r="A88" s="10" t="s">
        <v>93</v>
      </c>
      <c r="C88" s="53">
        <f>+SUM(B82:B87)</f>
        <v>60250</v>
      </c>
    </row>
    <row r="89" spans="1:3">
      <c r="A89" s="10" t="s">
        <v>94</v>
      </c>
      <c r="C89" s="31">
        <f>+C81-C88</f>
        <v>4199.7466447991756</v>
      </c>
    </row>
    <row r="90" spans="1:3">
      <c r="A90" s="10" t="s">
        <v>95</v>
      </c>
      <c r="C90" s="27">
        <f>-C89*0.1</f>
        <v>-419.97466447991758</v>
      </c>
    </row>
    <row r="91" spans="1:3">
      <c r="A91" s="10" t="s">
        <v>96</v>
      </c>
      <c r="C91" s="31">
        <f>+C89+C90</f>
        <v>3779.7719803192581</v>
      </c>
    </row>
    <row r="93" spans="1:3">
      <c r="A93" s="8"/>
    </row>
    <row r="94" spans="1:3">
      <c r="A94" s="8" t="s">
        <v>97</v>
      </c>
    </row>
    <row r="95" spans="1:3" ht="30">
      <c r="A95" s="52" t="s">
        <v>313</v>
      </c>
      <c r="B95" s="125">
        <f>+B77*8%/2</f>
        <v>329.98986579196708</v>
      </c>
    </row>
    <row r="97" spans="1:2">
      <c r="A97" s="8" t="s">
        <v>98</v>
      </c>
    </row>
    <row r="98" spans="1:2">
      <c r="A98" s="8"/>
    </row>
    <row r="99" spans="1:2">
      <c r="A99" s="8" t="s">
        <v>99</v>
      </c>
      <c r="B99" s="30">
        <f>3000*0.6</f>
        <v>1800</v>
      </c>
    </row>
    <row r="101" spans="1:2">
      <c r="A101" s="8" t="s">
        <v>100</v>
      </c>
    </row>
    <row r="103" spans="1:2">
      <c r="A103" s="8" t="s">
        <v>101</v>
      </c>
    </row>
    <row r="104" spans="1:2">
      <c r="A104" s="10" t="s">
        <v>102</v>
      </c>
      <c r="B104" s="30">
        <f>+B87</f>
        <v>19000</v>
      </c>
    </row>
    <row r="105" spans="1:2">
      <c r="A105" s="10" t="s">
        <v>103</v>
      </c>
      <c r="B105" s="30">
        <f>-B104/20/2</f>
        <v>-475</v>
      </c>
    </row>
    <row r="106" spans="1:2">
      <c r="A106" s="10" t="s">
        <v>104</v>
      </c>
      <c r="B106" s="30">
        <f>+B104+B105</f>
        <v>18525</v>
      </c>
    </row>
    <row r="108" spans="1:2">
      <c r="A108" s="8"/>
    </row>
    <row r="109" spans="1:2">
      <c r="A109" s="8" t="s">
        <v>105</v>
      </c>
    </row>
    <row r="111" spans="1:2">
      <c r="A111" s="8" t="s">
        <v>106</v>
      </c>
    </row>
    <row r="112" spans="1:2">
      <c r="A112" s="10" t="s">
        <v>107</v>
      </c>
      <c r="B112" s="30">
        <v>18000</v>
      </c>
    </row>
    <row r="113" spans="1:2">
      <c r="A113" s="10" t="s">
        <v>108</v>
      </c>
      <c r="B113" s="27">
        <f>+B114-B112</f>
        <v>-16500</v>
      </c>
    </row>
    <row r="114" spans="1:2">
      <c r="A114" s="10" t="s">
        <v>109</v>
      </c>
      <c r="B114" s="54">
        <v>1500</v>
      </c>
    </row>
    <row r="115" spans="1:2">
      <c r="A115" s="10" t="s">
        <v>110</v>
      </c>
      <c r="B115" s="30">
        <f>+B114</f>
        <v>1500</v>
      </c>
    </row>
    <row r="116" spans="1:2">
      <c r="A116" s="10" t="s">
        <v>111</v>
      </c>
      <c r="B116" s="30">
        <v>8000</v>
      </c>
    </row>
    <row r="117" spans="1:2">
      <c r="B117" s="30"/>
    </row>
    <row r="118" spans="1:2">
      <c r="B118" s="30"/>
    </row>
    <row r="119" spans="1:2">
      <c r="A119" s="8" t="s">
        <v>112</v>
      </c>
      <c r="B119" s="30"/>
    </row>
    <row r="120" spans="1:2">
      <c r="B120" s="30"/>
    </row>
    <row r="121" spans="1:2">
      <c r="A121" s="10" t="s">
        <v>113</v>
      </c>
      <c r="B121" s="30">
        <v>20000</v>
      </c>
    </row>
    <row r="122" spans="1:2" ht="30">
      <c r="A122" s="52" t="s">
        <v>114</v>
      </c>
      <c r="B122" s="30">
        <v>150</v>
      </c>
    </row>
    <row r="123" spans="1:2">
      <c r="B123" s="30"/>
    </row>
    <row r="124" spans="1:2">
      <c r="A124" s="8" t="s">
        <v>115</v>
      </c>
      <c r="B124" s="30"/>
    </row>
    <row r="125" spans="1:2">
      <c r="A125" s="10" t="s">
        <v>116</v>
      </c>
      <c r="B125" s="30"/>
    </row>
    <row r="126" spans="1:2">
      <c r="A126" s="15" t="s">
        <v>117</v>
      </c>
      <c r="B126" s="30">
        <f>+D24*0.4</f>
        <v>720</v>
      </c>
    </row>
    <row r="127" spans="1:2">
      <c r="A127" s="15" t="s">
        <v>118</v>
      </c>
      <c r="B127" s="27">
        <f>+D24*0.6</f>
        <v>1080</v>
      </c>
    </row>
    <row r="128" spans="1:2">
      <c r="B128" s="30">
        <f>SUM(B126:B127)</f>
        <v>1800</v>
      </c>
    </row>
    <row r="129" spans="1:5">
      <c r="B129" s="30"/>
    </row>
    <row r="130" spans="1:5">
      <c r="A130" s="8" t="s">
        <v>119</v>
      </c>
    </row>
    <row r="132" spans="1:5">
      <c r="A132" s="10" t="s">
        <v>120</v>
      </c>
      <c r="B132" s="47">
        <f>+B56</f>
        <v>30200</v>
      </c>
      <c r="E132" s="48"/>
    </row>
    <row r="133" spans="1:5">
      <c r="A133" s="10" t="s">
        <v>121</v>
      </c>
      <c r="B133" s="47"/>
      <c r="C133" s="9">
        <f>+D17/2</f>
        <v>1550</v>
      </c>
    </row>
    <row r="134" spans="1:5">
      <c r="A134" s="8" t="s">
        <v>21</v>
      </c>
    </row>
    <row r="135" spans="1:5">
      <c r="A135" s="10" t="s">
        <v>122</v>
      </c>
      <c r="B135" s="30">
        <f>-B115</f>
        <v>-1500</v>
      </c>
      <c r="C135" s="30"/>
    </row>
    <row r="136" spans="1:5">
      <c r="A136" s="10" t="s">
        <v>123</v>
      </c>
      <c r="B136" s="30"/>
      <c r="C136" s="30">
        <f>C90</f>
        <v>-419.97466447991758</v>
      </c>
    </row>
    <row r="137" spans="1:5">
      <c r="A137" s="10" t="s">
        <v>124</v>
      </c>
      <c r="B137" s="30">
        <f>-B95</f>
        <v>-329.98986579196708</v>
      </c>
      <c r="C137" s="30"/>
    </row>
    <row r="138" spans="1:5">
      <c r="A138" s="10" t="s">
        <v>125</v>
      </c>
      <c r="B138" s="30"/>
      <c r="C138" s="30">
        <f>+B105</f>
        <v>-475</v>
      </c>
    </row>
    <row r="139" spans="1:5">
      <c r="A139" s="10" t="s">
        <v>126</v>
      </c>
      <c r="B139" s="30">
        <f>F13</f>
        <v>150</v>
      </c>
      <c r="C139" s="30"/>
    </row>
    <row r="140" spans="1:5">
      <c r="A140" s="10" t="s">
        <v>127</v>
      </c>
      <c r="B140" s="27">
        <f>-B99</f>
        <v>-1800</v>
      </c>
      <c r="C140" s="27"/>
    </row>
    <row r="141" spans="1:5">
      <c r="A141" s="10" t="s">
        <v>128</v>
      </c>
      <c r="B141" s="46">
        <f>SUM(B132:B140)</f>
        <v>26720.010134208034</v>
      </c>
      <c r="C141" s="46">
        <f>SUM(C132:C140)</f>
        <v>655.02533552008254</v>
      </c>
    </row>
    <row r="142" spans="1:5">
      <c r="A142" s="10" t="s">
        <v>129</v>
      </c>
      <c r="B142" s="126">
        <f>+C141*0.6</f>
        <v>393.0152013120495</v>
      </c>
    </row>
    <row r="143" spans="1:5">
      <c r="B143" s="46">
        <f>+B142+B141</f>
        <v>27113.025335520084</v>
      </c>
    </row>
    <row r="144" spans="1:5">
      <c r="A144" s="8" t="s">
        <v>130</v>
      </c>
    </row>
    <row r="146" spans="1:2">
      <c r="A146" s="10" t="s">
        <v>131</v>
      </c>
      <c r="B146" s="36">
        <f>+B80</f>
        <v>19200</v>
      </c>
    </row>
    <row r="147" spans="1:2">
      <c r="A147" s="10" t="s">
        <v>132</v>
      </c>
      <c r="B147" s="36">
        <f>-3000*0.4</f>
        <v>-1200</v>
      </c>
    </row>
    <row r="148" spans="1:2">
      <c r="A148" s="10" t="s">
        <v>133</v>
      </c>
      <c r="B148" s="36">
        <f>+C141*0.4</f>
        <v>262.01013420803304</v>
      </c>
    </row>
    <row r="149" spans="1:2">
      <c r="A149" s="10" t="s">
        <v>134</v>
      </c>
      <c r="B149" s="55">
        <f>+B126</f>
        <v>720</v>
      </c>
    </row>
    <row r="150" spans="1:2">
      <c r="B150" s="31">
        <f>SUM(B146:B149)</f>
        <v>18982.010134208034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4"/>
  <sheetViews>
    <sheetView tabSelected="1" topLeftCell="A68" workbookViewId="0">
      <selection activeCell="G24" sqref="G24"/>
    </sheetView>
  </sheetViews>
  <sheetFormatPr defaultRowHeight="14.4"/>
  <cols>
    <col min="2" max="2" width="55.88671875" customWidth="1"/>
    <col min="3" max="3" width="10" bestFit="1" customWidth="1"/>
    <col min="4" max="4" width="12.5546875" bestFit="1" customWidth="1"/>
    <col min="8" max="8" width="12.44140625" customWidth="1"/>
    <col min="11" max="11" width="10.109375" customWidth="1"/>
  </cols>
  <sheetData>
    <row r="1" spans="1:12">
      <c r="A1" t="s">
        <v>136</v>
      </c>
    </row>
    <row r="3" spans="1:12">
      <c r="A3" s="1">
        <v>3.1</v>
      </c>
      <c r="B3" s="1" t="s">
        <v>0</v>
      </c>
      <c r="L3" t="s">
        <v>27</v>
      </c>
    </row>
    <row r="4" spans="1:12">
      <c r="B4" t="s">
        <v>1</v>
      </c>
      <c r="L4">
        <v>1</v>
      </c>
    </row>
    <row r="5" spans="1:12" ht="103.05" customHeight="1">
      <c r="B5" s="163" t="s">
        <v>2</v>
      </c>
      <c r="C5" s="163"/>
      <c r="D5" s="163"/>
      <c r="E5" s="163"/>
      <c r="F5" s="163"/>
      <c r="G5" s="163"/>
      <c r="H5" s="163"/>
    </row>
    <row r="6" spans="1:12" ht="79.5" customHeight="1">
      <c r="B6" s="161" t="s">
        <v>17</v>
      </c>
      <c r="C6" s="161"/>
      <c r="D6" s="161"/>
      <c r="E6" s="161"/>
      <c r="F6" s="161"/>
      <c r="G6" s="161"/>
      <c r="H6" s="161"/>
      <c r="L6">
        <v>1</v>
      </c>
    </row>
    <row r="8" spans="1:12" ht="91.5" customHeight="1">
      <c r="A8" s="2"/>
      <c r="B8" s="162" t="s">
        <v>3</v>
      </c>
      <c r="C8" s="162"/>
      <c r="D8" s="162"/>
      <c r="E8" s="162"/>
      <c r="F8" s="162"/>
      <c r="G8" s="162"/>
      <c r="H8" s="162"/>
      <c r="L8">
        <v>2</v>
      </c>
    </row>
    <row r="9" spans="1:12">
      <c r="A9" s="1">
        <v>3.2</v>
      </c>
      <c r="B9" s="1" t="s">
        <v>315</v>
      </c>
      <c r="C9" s="141"/>
      <c r="D9" s="3"/>
    </row>
    <row r="11" spans="1:12">
      <c r="B11" s="4" t="s">
        <v>4</v>
      </c>
      <c r="D11" s="5">
        <v>2000000</v>
      </c>
    </row>
    <row r="12" spans="1:12">
      <c r="B12" s="4"/>
      <c r="D12" s="5"/>
    </row>
    <row r="13" spans="1:12">
      <c r="B13" s="142" t="s">
        <v>316</v>
      </c>
      <c r="C13" s="141">
        <v>0.1</v>
      </c>
      <c r="D13" s="5">
        <f>+C13*2000000</f>
        <v>200000</v>
      </c>
    </row>
    <row r="14" spans="1:12">
      <c r="B14" t="s">
        <v>317</v>
      </c>
      <c r="C14" s="141">
        <v>0.12</v>
      </c>
    </row>
    <row r="16" spans="1:12">
      <c r="B16" t="s">
        <v>318</v>
      </c>
    </row>
    <row r="17" spans="2:12">
      <c r="B17" s="6" t="s">
        <v>319</v>
      </c>
      <c r="C17" s="3">
        <f>+D13</f>
        <v>200000</v>
      </c>
    </row>
    <row r="18" spans="2:12">
      <c r="B18" s="6" t="s">
        <v>320</v>
      </c>
      <c r="C18" s="3">
        <f>+C17</f>
        <v>200000</v>
      </c>
    </row>
    <row r="19" spans="2:12">
      <c r="B19" s="6" t="s">
        <v>321</v>
      </c>
      <c r="C19" s="3">
        <f>+D11+D13</f>
        <v>2200000</v>
      </c>
      <c r="D19" s="3"/>
    </row>
    <row r="20" spans="2:12" hidden="1">
      <c r="B20" s="138" t="s">
        <v>304</v>
      </c>
      <c r="C20" s="139">
        <f>2000000*10%*2.402+2000000*0.712</f>
        <v>1904400</v>
      </c>
      <c r="D20" s="3"/>
    </row>
    <row r="21" spans="2:12">
      <c r="B21" s="138"/>
      <c r="C21" s="139"/>
      <c r="D21" s="3"/>
    </row>
    <row r="22" spans="2:12">
      <c r="B22" s="143" t="s">
        <v>254</v>
      </c>
      <c r="C22" s="139"/>
      <c r="D22" s="3"/>
    </row>
    <row r="23" spans="2:12">
      <c r="B23" s="143" t="s">
        <v>322</v>
      </c>
      <c r="C23" s="3"/>
      <c r="D23" s="3"/>
    </row>
    <row r="24" spans="2:12">
      <c r="B24" s="6" t="s">
        <v>323</v>
      </c>
      <c r="C24" s="3">
        <f>+D11-C25</f>
        <v>95600</v>
      </c>
      <c r="D24" s="3"/>
      <c r="L24">
        <v>1</v>
      </c>
    </row>
    <row r="25" spans="2:12">
      <c r="B25" s="6" t="s">
        <v>324</v>
      </c>
      <c r="C25" s="3">
        <f>+D11*E36+D13*E41</f>
        <v>1904400</v>
      </c>
      <c r="L25">
        <v>1</v>
      </c>
    </row>
    <row r="27" spans="2:12">
      <c r="B27" s="143" t="s">
        <v>325</v>
      </c>
      <c r="C27" s="3"/>
    </row>
    <row r="28" spans="2:12">
      <c r="B28" s="6" t="s">
        <v>323</v>
      </c>
      <c r="C28" s="3">
        <f>+C24</f>
        <v>95600</v>
      </c>
      <c r="L28">
        <v>1</v>
      </c>
    </row>
    <row r="29" spans="2:12">
      <c r="B29" s="6" t="s">
        <v>324</v>
      </c>
      <c r="C29" s="3">
        <f>+C31+C25</f>
        <v>2132928</v>
      </c>
      <c r="L29">
        <v>1</v>
      </c>
    </row>
    <row r="30" spans="2:12">
      <c r="B30" s="143" t="s">
        <v>330</v>
      </c>
      <c r="C30" s="3"/>
    </row>
    <row r="31" spans="2:12">
      <c r="B31" s="6" t="s">
        <v>326</v>
      </c>
      <c r="C31" s="3">
        <f>+C25*C14</f>
        <v>228528</v>
      </c>
      <c r="L31">
        <v>1</v>
      </c>
    </row>
    <row r="32" spans="2:12" s="138" customFormat="1">
      <c r="B32" s="144"/>
      <c r="C32" s="140"/>
    </row>
    <row r="33" spans="1:12" s="138" customFormat="1" ht="15" hidden="1" thickBot="1">
      <c r="B33" s="145" t="s">
        <v>327</v>
      </c>
    </row>
    <row r="34" spans="1:12" s="138" customFormat="1" ht="15" hidden="1" thickBot="1">
      <c r="B34" s="146" t="s">
        <v>328</v>
      </c>
      <c r="C34" s="147">
        <v>1</v>
      </c>
      <c r="D34" s="147">
        <v>2</v>
      </c>
      <c r="E34" s="147">
        <v>3</v>
      </c>
    </row>
    <row r="35" spans="1:12" s="138" customFormat="1" ht="15" hidden="1" thickBot="1">
      <c r="B35" s="148">
        <v>0.1</v>
      </c>
      <c r="C35" s="149">
        <v>0.90900000000000003</v>
      </c>
      <c r="D35" s="149">
        <v>0.82599999999999996</v>
      </c>
      <c r="E35" s="149">
        <v>0.751</v>
      </c>
    </row>
    <row r="36" spans="1:12" s="138" customFormat="1" ht="15" hidden="1" thickBot="1">
      <c r="B36" s="148">
        <v>0.12</v>
      </c>
      <c r="C36" s="149">
        <v>0.89300000000000002</v>
      </c>
      <c r="D36" s="149">
        <v>0.79700000000000004</v>
      </c>
      <c r="E36" s="149">
        <v>0.71199999999999997</v>
      </c>
    </row>
    <row r="37" spans="1:12" s="138" customFormat="1" hidden="1"/>
    <row r="38" spans="1:12" s="138" customFormat="1" ht="15" hidden="1" thickBot="1">
      <c r="B38" s="138" t="s">
        <v>329</v>
      </c>
    </row>
    <row r="39" spans="1:12" s="138" customFormat="1" ht="15" hidden="1" thickBot="1">
      <c r="B39" s="146" t="s">
        <v>328</v>
      </c>
      <c r="C39" s="147">
        <v>1</v>
      </c>
      <c r="D39" s="147">
        <v>2</v>
      </c>
      <c r="E39" s="147">
        <v>3</v>
      </c>
    </row>
    <row r="40" spans="1:12" s="138" customFormat="1" ht="15" hidden="1" thickBot="1">
      <c r="B40" s="148">
        <v>0.1</v>
      </c>
      <c r="C40" s="149">
        <v>0.90900000000000003</v>
      </c>
      <c r="D40" s="149">
        <v>1.736</v>
      </c>
      <c r="E40" s="149">
        <v>2.4870000000000001</v>
      </c>
    </row>
    <row r="41" spans="1:12" s="138" customFormat="1" ht="15" hidden="1" thickBot="1">
      <c r="B41" s="148">
        <v>0.12</v>
      </c>
      <c r="C41" s="149">
        <v>0.89300000000000002</v>
      </c>
      <c r="D41" s="149">
        <v>1.69</v>
      </c>
      <c r="E41" s="149">
        <v>2.4020000000000001</v>
      </c>
    </row>
    <row r="42" spans="1:12" s="150" customFormat="1" hidden="1"/>
    <row r="43" spans="1:12" s="150" customFormat="1">
      <c r="A43" s="151">
        <v>3.3</v>
      </c>
      <c r="C43" s="152">
        <v>20500</v>
      </c>
      <c r="D43" s="150">
        <v>1600</v>
      </c>
    </row>
    <row r="44" spans="1:12" s="150" customFormat="1">
      <c r="C44" s="152">
        <f>+C43*D44/D43</f>
        <v>24343.75</v>
      </c>
      <c r="D44" s="150">
        <v>1900</v>
      </c>
      <c r="L44" s="150">
        <v>1</v>
      </c>
    </row>
    <row r="45" spans="1:12" s="150" customFormat="1">
      <c r="B45" s="150" t="s">
        <v>305</v>
      </c>
      <c r="C45" s="153">
        <f>+C44-C43</f>
        <v>3843.75</v>
      </c>
      <c r="E45" s="154"/>
    </row>
    <row r="46" spans="1:12" s="150" customFormat="1">
      <c r="E46" s="155"/>
    </row>
    <row r="47" spans="1:12" s="150" customFormat="1">
      <c r="E47" s="155"/>
    </row>
    <row r="48" spans="1:12" s="150" customFormat="1"/>
    <row r="49" spans="1:12" s="150" customFormat="1">
      <c r="B49" s="150" t="s">
        <v>5</v>
      </c>
      <c r="C49" s="156">
        <f>+D49/D50</f>
        <v>0.1</v>
      </c>
      <c r="D49" s="157">
        <f>+C50-D50</f>
        <v>160</v>
      </c>
      <c r="E49" s="154"/>
    </row>
    <row r="50" spans="1:12" s="150" customFormat="1">
      <c r="C50" s="150">
        <v>1760</v>
      </c>
      <c r="D50" s="150">
        <v>1600</v>
      </c>
      <c r="E50" s="155"/>
      <c r="L50" s="150">
        <v>0.5</v>
      </c>
    </row>
    <row r="51" spans="1:12" s="150" customFormat="1">
      <c r="E51" s="155"/>
    </row>
    <row r="52" spans="1:12" s="150" customFormat="1">
      <c r="B52" s="150" t="s">
        <v>6</v>
      </c>
    </row>
    <row r="53" spans="1:12" s="150" customFormat="1">
      <c r="B53" s="158">
        <v>45838</v>
      </c>
      <c r="C53" s="159">
        <f>+C54*1.1</f>
        <v>22550.000000000004</v>
      </c>
      <c r="L53" s="150">
        <v>0.5</v>
      </c>
    </row>
    <row r="54" spans="1:12" s="150" customFormat="1">
      <c r="B54" s="158">
        <v>45473</v>
      </c>
      <c r="C54" s="152">
        <v>20500</v>
      </c>
    </row>
    <row r="55" spans="1:12" s="150" customFormat="1">
      <c r="B55" s="160"/>
    </row>
    <row r="56" spans="1:12" s="150" customFormat="1"/>
    <row r="57" spans="1:12" s="150" customFormat="1">
      <c r="B57" s="150" t="s">
        <v>7</v>
      </c>
      <c r="C57" s="153">
        <f>+C53-C54</f>
        <v>2050.0000000000036</v>
      </c>
      <c r="D57" s="150" t="s">
        <v>8</v>
      </c>
      <c r="L57" s="150">
        <v>1</v>
      </c>
    </row>
    <row r="58" spans="1:12" s="150" customFormat="1"/>
    <row r="59" spans="1:12">
      <c r="A59">
        <v>3.4</v>
      </c>
    </row>
    <row r="60" spans="1:12">
      <c r="B60" t="s">
        <v>9</v>
      </c>
    </row>
    <row r="61" spans="1:12">
      <c r="B61" s="162" t="s">
        <v>10</v>
      </c>
      <c r="C61" s="164"/>
      <c r="D61" s="164"/>
      <c r="E61" s="164"/>
      <c r="F61" s="164"/>
      <c r="G61" s="164"/>
      <c r="H61" s="164"/>
    </row>
    <row r="62" spans="1:12">
      <c r="B62" s="164"/>
      <c r="C62" s="164"/>
      <c r="D62" s="164"/>
      <c r="E62" s="164"/>
      <c r="F62" s="164"/>
      <c r="G62" s="164"/>
      <c r="H62" s="164"/>
    </row>
    <row r="63" spans="1:12">
      <c r="B63" s="164"/>
      <c r="C63" s="164"/>
      <c r="D63" s="164"/>
      <c r="E63" s="164"/>
      <c r="F63" s="164"/>
      <c r="G63" s="164"/>
      <c r="H63" s="164"/>
    </row>
    <row r="64" spans="1:12">
      <c r="B64" s="164"/>
      <c r="C64" s="164"/>
      <c r="D64" s="164"/>
      <c r="E64" s="164"/>
      <c r="F64" s="164"/>
      <c r="G64" s="164"/>
      <c r="H64" s="164"/>
    </row>
    <row r="65" spans="2:12" ht="31.05" customHeight="1">
      <c r="B65" s="164"/>
      <c r="C65" s="164"/>
      <c r="D65" s="164"/>
      <c r="E65" s="164"/>
      <c r="F65" s="164"/>
      <c r="G65" s="164"/>
      <c r="H65" s="164"/>
      <c r="L65">
        <v>1</v>
      </c>
    </row>
    <row r="68" spans="2:12" ht="104.55" customHeight="1">
      <c r="B68" s="165" t="s">
        <v>11</v>
      </c>
      <c r="C68" s="165"/>
      <c r="D68" s="165"/>
      <c r="E68" s="165"/>
      <c r="F68" s="165"/>
      <c r="G68" s="165"/>
      <c r="L68">
        <v>1</v>
      </c>
    </row>
    <row r="69" spans="2:12">
      <c r="B69" s="163" t="s">
        <v>12</v>
      </c>
      <c r="C69" s="166"/>
      <c r="D69" s="166"/>
      <c r="E69" s="166"/>
      <c r="F69" s="166"/>
      <c r="G69" s="166"/>
      <c r="H69" s="166"/>
    </row>
    <row r="70" spans="2:12">
      <c r="B70" s="166"/>
      <c r="C70" s="166"/>
      <c r="D70" s="166"/>
      <c r="E70" s="166"/>
      <c r="F70" s="166"/>
      <c r="G70" s="166"/>
      <c r="H70" s="166"/>
    </row>
    <row r="71" spans="2:12">
      <c r="B71" s="166"/>
      <c r="C71" s="166"/>
      <c r="D71" s="166"/>
      <c r="E71" s="166"/>
      <c r="F71" s="166"/>
      <c r="G71" s="166"/>
      <c r="H71" s="166"/>
    </row>
    <row r="72" spans="2:12">
      <c r="B72" s="166"/>
      <c r="C72" s="166"/>
      <c r="D72" s="166"/>
      <c r="E72" s="166"/>
      <c r="F72" s="166"/>
      <c r="G72" s="166"/>
      <c r="H72" s="166"/>
    </row>
    <row r="73" spans="2:12">
      <c r="B73" s="166"/>
      <c r="C73" s="166"/>
      <c r="D73" s="166"/>
      <c r="E73" s="166"/>
      <c r="F73" s="166"/>
      <c r="G73" s="166"/>
      <c r="H73" s="166"/>
    </row>
    <row r="74" spans="2:12">
      <c r="B74" s="166"/>
      <c r="C74" s="166"/>
      <c r="D74" s="166"/>
      <c r="E74" s="166"/>
      <c r="F74" s="166"/>
      <c r="G74" s="166"/>
      <c r="H74" s="166"/>
      <c r="L74">
        <v>1</v>
      </c>
    </row>
    <row r="76" spans="2:12" ht="45.45" customHeight="1">
      <c r="B76" s="161" t="s">
        <v>13</v>
      </c>
      <c r="C76" s="161"/>
      <c r="D76" s="161"/>
      <c r="E76" s="161"/>
      <c r="F76" s="161"/>
      <c r="G76" s="161"/>
      <c r="H76" s="161"/>
      <c r="L76">
        <v>1</v>
      </c>
    </row>
    <row r="77" spans="2:12">
      <c r="B77" s="4"/>
    </row>
    <row r="78" spans="2:12" ht="60.45" customHeight="1">
      <c r="B78" s="162" t="s">
        <v>14</v>
      </c>
      <c r="C78" s="162"/>
      <c r="D78" s="162"/>
      <c r="E78" s="162"/>
      <c r="F78" s="162"/>
      <c r="G78" s="162"/>
      <c r="H78" s="162"/>
      <c r="L78">
        <v>1</v>
      </c>
    </row>
    <row r="81" spans="2:13">
      <c r="B81" t="s">
        <v>15</v>
      </c>
      <c r="L81">
        <v>1.5</v>
      </c>
    </row>
    <row r="82" spans="2:13">
      <c r="B82" t="s">
        <v>16</v>
      </c>
      <c r="L82">
        <v>1.5</v>
      </c>
    </row>
    <row r="84" spans="2:13">
      <c r="K84" s="1" t="s">
        <v>128</v>
      </c>
      <c r="L84" s="1">
        <f>SUM(L4:L82)</f>
        <v>20</v>
      </c>
      <c r="M84" s="1" t="str">
        <f>+L3</f>
        <v>միավոր</v>
      </c>
    </row>
  </sheetData>
  <mergeCells count="8">
    <mergeCell ref="B76:H76"/>
    <mergeCell ref="B78:H78"/>
    <mergeCell ref="B5:H5"/>
    <mergeCell ref="B6:H6"/>
    <mergeCell ref="B8:H8"/>
    <mergeCell ref="B61:H65"/>
    <mergeCell ref="B68:G68"/>
    <mergeCell ref="B69:H7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9"/>
  <sheetViews>
    <sheetView workbookViewId="0">
      <selection activeCell="C171" sqref="C171"/>
    </sheetView>
  </sheetViews>
  <sheetFormatPr defaultRowHeight="14.4"/>
  <cols>
    <col min="2" max="2" width="60.21875" customWidth="1"/>
    <col min="3" max="3" width="22.5546875" customWidth="1"/>
    <col min="4" max="4" width="27.21875" customWidth="1"/>
    <col min="5" max="5" width="12.21875" customWidth="1"/>
    <col min="6" max="6" width="23.77734375" customWidth="1"/>
    <col min="7" max="7" width="10.33203125" bestFit="1" customWidth="1"/>
    <col min="8" max="8" width="8.77734375" style="1"/>
  </cols>
  <sheetData>
    <row r="1" spans="1:9">
      <c r="A1" t="s">
        <v>195</v>
      </c>
    </row>
    <row r="3" spans="1:9">
      <c r="B3" s="81" t="s">
        <v>201</v>
      </c>
    </row>
    <row r="4" spans="1:9">
      <c r="B4" s="82" t="s">
        <v>202</v>
      </c>
    </row>
    <row r="5" spans="1:9">
      <c r="B5" s="83" t="s">
        <v>203</v>
      </c>
      <c r="C5" s="5">
        <f>+C140</f>
        <v>-2335</v>
      </c>
      <c r="H5" s="1">
        <v>0.5</v>
      </c>
      <c r="I5" t="s">
        <v>27</v>
      </c>
    </row>
    <row r="6" spans="1:9">
      <c r="B6" s="82" t="s">
        <v>204</v>
      </c>
      <c r="C6" s="5"/>
    </row>
    <row r="7" spans="1:9">
      <c r="B7" s="84" t="s">
        <v>205</v>
      </c>
      <c r="C7" s="5">
        <f>-(+C132+C133)</f>
        <v>870</v>
      </c>
      <c r="H7" s="1">
        <v>0.5</v>
      </c>
      <c r="I7" t="s">
        <v>27</v>
      </c>
    </row>
    <row r="8" spans="1:9">
      <c r="B8" s="84" t="s">
        <v>206</v>
      </c>
      <c r="C8" s="5">
        <f>-C42</f>
        <v>-500</v>
      </c>
      <c r="H8" s="1">
        <v>1</v>
      </c>
      <c r="I8" t="s">
        <v>27</v>
      </c>
    </row>
    <row r="9" spans="1:9">
      <c r="B9" s="84" t="s">
        <v>207</v>
      </c>
      <c r="C9" s="5">
        <f>-C138</f>
        <v>1220</v>
      </c>
      <c r="H9" s="1">
        <v>1</v>
      </c>
      <c r="I9" t="s">
        <v>27</v>
      </c>
    </row>
    <row r="10" spans="1:9">
      <c r="B10" s="84" t="s">
        <v>208</v>
      </c>
      <c r="C10" s="5">
        <f>-C139</f>
        <v>97</v>
      </c>
      <c r="H10" s="1">
        <v>1</v>
      </c>
      <c r="I10" t="s">
        <v>27</v>
      </c>
    </row>
    <row r="11" spans="1:9" ht="28.8">
      <c r="B11" s="85" t="s">
        <v>209</v>
      </c>
      <c r="C11" s="86">
        <f>SUM(C5:C10)</f>
        <v>-648</v>
      </c>
      <c r="H11" s="1">
        <v>0.5</v>
      </c>
      <c r="I11" t="s">
        <v>27</v>
      </c>
    </row>
    <row r="12" spans="1:9">
      <c r="B12" s="84"/>
    </row>
    <row r="13" spans="1:9">
      <c r="B13" s="87"/>
    </row>
    <row r="14" spans="1:9">
      <c r="B14" s="84" t="s">
        <v>210</v>
      </c>
      <c r="C14" s="88">
        <f>+D96-C96</f>
        <v>-8770</v>
      </c>
      <c r="H14" s="1">
        <v>0.5</v>
      </c>
      <c r="I14" t="s">
        <v>27</v>
      </c>
    </row>
    <row r="15" spans="1:9">
      <c r="B15" s="84" t="s">
        <v>211</v>
      </c>
      <c r="C15" s="88">
        <f>+C56</f>
        <v>-4660</v>
      </c>
      <c r="H15" s="1">
        <v>1</v>
      </c>
      <c r="I15" t="s">
        <v>27</v>
      </c>
    </row>
    <row r="16" spans="1:9">
      <c r="B16" s="84" t="s">
        <v>212</v>
      </c>
      <c r="C16" s="88">
        <f>+C61-D61</f>
        <v>3200</v>
      </c>
      <c r="H16" s="1">
        <v>1</v>
      </c>
      <c r="I16" t="s">
        <v>27</v>
      </c>
    </row>
    <row r="17" spans="2:9">
      <c r="B17" s="82" t="s">
        <v>213</v>
      </c>
      <c r="C17" s="7">
        <f>+SUM(C11:C16)</f>
        <v>-10878</v>
      </c>
    </row>
    <row r="18" spans="2:9">
      <c r="B18" s="84" t="s">
        <v>214</v>
      </c>
      <c r="C18" s="3">
        <f>-(+D117-C138-C117)</f>
        <v>-1160</v>
      </c>
      <c r="H18" s="1">
        <v>1</v>
      </c>
      <c r="I18" t="s">
        <v>27</v>
      </c>
    </row>
    <row r="19" spans="2:9">
      <c r="B19" s="84" t="s">
        <v>200</v>
      </c>
      <c r="C19" s="3">
        <f>-E82</f>
        <v>-3675</v>
      </c>
      <c r="H19" s="1">
        <v>1</v>
      </c>
      <c r="I19" t="s">
        <v>27</v>
      </c>
    </row>
    <row r="20" spans="2:9">
      <c r="B20" s="84" t="s">
        <v>215</v>
      </c>
      <c r="C20" s="3">
        <f>+C118-D118</f>
        <v>-360</v>
      </c>
      <c r="H20" s="1">
        <v>2</v>
      </c>
      <c r="I20" t="s">
        <v>27</v>
      </c>
    </row>
    <row r="21" spans="2:9">
      <c r="B21" s="82" t="s">
        <v>216</v>
      </c>
      <c r="C21" s="7">
        <f>SUM(C17:C20)</f>
        <v>-16073</v>
      </c>
    </row>
    <row r="22" spans="2:9">
      <c r="B22" s="84"/>
    </row>
    <row r="23" spans="2:9">
      <c r="B23" s="82" t="s">
        <v>217</v>
      </c>
    </row>
    <row r="24" spans="2:9">
      <c r="B24" s="89" t="s">
        <v>218</v>
      </c>
      <c r="C24" s="5">
        <v>5500</v>
      </c>
      <c r="H24" s="1">
        <v>0.5</v>
      </c>
      <c r="I24" t="s">
        <v>27</v>
      </c>
    </row>
    <row r="25" spans="2:9">
      <c r="B25" s="89" t="s">
        <v>219</v>
      </c>
      <c r="C25" s="5">
        <f>-C50</f>
        <v>-8250</v>
      </c>
      <c r="H25" s="1">
        <v>3</v>
      </c>
      <c r="I25" t="s">
        <v>27</v>
      </c>
    </row>
    <row r="26" spans="2:9">
      <c r="B26" s="82" t="s">
        <v>220</v>
      </c>
      <c r="C26" s="7">
        <f>SUM(C24:C25)</f>
        <v>-2750</v>
      </c>
    </row>
    <row r="27" spans="2:9">
      <c r="B27" s="82"/>
    </row>
    <row r="28" spans="2:9">
      <c r="B28" s="82" t="s">
        <v>221</v>
      </c>
    </row>
    <row r="29" spans="2:9">
      <c r="B29" s="84" t="s">
        <v>222</v>
      </c>
      <c r="C29" s="5">
        <f>+C80+D80</f>
        <v>10820</v>
      </c>
      <c r="H29" s="1">
        <v>3</v>
      </c>
      <c r="I29" t="s">
        <v>27</v>
      </c>
    </row>
    <row r="30" spans="2:9">
      <c r="B30" s="84" t="s">
        <v>223</v>
      </c>
      <c r="C30" s="5">
        <f>+C111-D111</f>
        <v>6000</v>
      </c>
      <c r="H30" s="1">
        <v>0.5</v>
      </c>
      <c r="I30" t="s">
        <v>27</v>
      </c>
    </row>
    <row r="31" spans="2:9">
      <c r="B31" s="84" t="s">
        <v>224</v>
      </c>
      <c r="C31" s="5">
        <f>+C112-D112</f>
        <v>3010</v>
      </c>
      <c r="H31" s="1">
        <v>0.5</v>
      </c>
      <c r="I31" t="s">
        <v>27</v>
      </c>
    </row>
    <row r="32" spans="2:9">
      <c r="B32" s="82" t="s">
        <v>225</v>
      </c>
      <c r="C32" s="7">
        <f>SUM(C29:C31)</f>
        <v>19830</v>
      </c>
    </row>
    <row r="33" spans="1:9">
      <c r="B33" s="82"/>
    </row>
    <row r="34" spans="1:9">
      <c r="B34" s="82" t="s">
        <v>226</v>
      </c>
      <c r="C34" s="7">
        <f>+C32+C26+C21</f>
        <v>1007</v>
      </c>
    </row>
    <row r="35" spans="1:9">
      <c r="B35" s="84" t="s">
        <v>227</v>
      </c>
      <c r="C35" s="3">
        <v>-7</v>
      </c>
      <c r="H35" s="1">
        <v>1</v>
      </c>
      <c r="I35" t="s">
        <v>27</v>
      </c>
    </row>
    <row r="36" spans="1:9" ht="28.8">
      <c r="B36" s="85" t="s">
        <v>228</v>
      </c>
      <c r="C36" s="7">
        <f>-D116</f>
        <v>-380</v>
      </c>
      <c r="H36" s="1">
        <v>0.5</v>
      </c>
      <c r="I36" t="s">
        <v>27</v>
      </c>
    </row>
    <row r="37" spans="1:9" ht="28.8">
      <c r="B37" s="85" t="s">
        <v>229</v>
      </c>
      <c r="C37" s="7">
        <f>SUM(C34:C36)</f>
        <v>620</v>
      </c>
      <c r="G37" s="1" t="s">
        <v>128</v>
      </c>
      <c r="H37" s="1">
        <f>SUM(H5:H36)</f>
        <v>20</v>
      </c>
      <c r="I37" s="1" t="s">
        <v>27</v>
      </c>
    </row>
    <row r="38" spans="1:9">
      <c r="C38" s="88"/>
    </row>
    <row r="39" spans="1:9">
      <c r="C39" s="88"/>
    </row>
    <row r="40" spans="1:9">
      <c r="A40" t="s">
        <v>196</v>
      </c>
      <c r="B40" t="s">
        <v>101</v>
      </c>
    </row>
    <row r="42" spans="1:9">
      <c r="B42" t="s">
        <v>230</v>
      </c>
      <c r="C42">
        <f>5500-(14000-9000)</f>
        <v>500</v>
      </c>
    </row>
    <row r="44" spans="1:9">
      <c r="B44" t="s">
        <v>231</v>
      </c>
      <c r="C44" s="88">
        <f>+D92</f>
        <v>12250</v>
      </c>
      <c r="E44" s="88"/>
    </row>
    <row r="45" spans="1:9">
      <c r="B45" t="s">
        <v>232</v>
      </c>
      <c r="C45" s="3">
        <f>-14000+9000</f>
        <v>-5000</v>
      </c>
      <c r="E45" s="3"/>
    </row>
    <row r="46" spans="1:9">
      <c r="B46" t="s">
        <v>233</v>
      </c>
      <c r="C46" s="3">
        <f>+C132</f>
        <v>-650</v>
      </c>
    </row>
    <row r="47" spans="1:9">
      <c r="B47" t="s">
        <v>234</v>
      </c>
      <c r="C47" s="88">
        <f>+C92</f>
        <v>15450</v>
      </c>
    </row>
    <row r="48" spans="1:9">
      <c r="B48" t="s">
        <v>235</v>
      </c>
      <c r="C48" s="7">
        <f>+C47-(C44+C45+C46)</f>
        <v>8850</v>
      </c>
      <c r="E48" s="88"/>
      <c r="F48" s="3"/>
    </row>
    <row r="50" spans="1:4">
      <c r="B50" t="s">
        <v>236</v>
      </c>
      <c r="C50" s="3">
        <f>+C48+D60-C60</f>
        <v>8250</v>
      </c>
    </row>
    <row r="52" spans="1:4">
      <c r="B52" t="s">
        <v>237</v>
      </c>
      <c r="C52" s="3">
        <f>+D93-C93+C133</f>
        <v>0</v>
      </c>
    </row>
    <row r="54" spans="1:4">
      <c r="A54" t="s">
        <v>97</v>
      </c>
      <c r="B54" t="s">
        <v>238</v>
      </c>
      <c r="C54" s="3">
        <f>+D97-C97</f>
        <v>-4570</v>
      </c>
    </row>
    <row r="55" spans="1:4">
      <c r="B55" t="s">
        <v>239</v>
      </c>
      <c r="C55" s="3">
        <v>-90</v>
      </c>
    </row>
    <row r="56" spans="1:4">
      <c r="C56" s="3">
        <f>+C54+C55</f>
        <v>-4660</v>
      </c>
    </row>
    <row r="57" spans="1:4">
      <c r="A57" t="s">
        <v>197</v>
      </c>
      <c r="B57" t="s">
        <v>81</v>
      </c>
    </row>
    <row r="58" spans="1:4">
      <c r="C58" s="6" t="s">
        <v>240</v>
      </c>
      <c r="D58" s="6" t="s">
        <v>241</v>
      </c>
    </row>
    <row r="59" spans="1:4">
      <c r="B59" t="s">
        <v>242</v>
      </c>
      <c r="C59" s="88">
        <f>+C119</f>
        <v>4650</v>
      </c>
      <c r="D59">
        <f>+D119</f>
        <v>850</v>
      </c>
    </row>
    <row r="60" spans="1:4">
      <c r="B60" t="s">
        <v>243</v>
      </c>
      <c r="C60" s="88">
        <v>800</v>
      </c>
      <c r="D60">
        <v>200</v>
      </c>
    </row>
    <row r="61" spans="1:4">
      <c r="C61" s="88">
        <f>+C59-C60</f>
        <v>3850</v>
      </c>
      <c r="D61" s="88">
        <f>+D59-D60</f>
        <v>650</v>
      </c>
    </row>
    <row r="62" spans="1:4">
      <c r="C62" s="88"/>
      <c r="D62" s="88"/>
    </row>
    <row r="63" spans="1:4">
      <c r="A63" t="s">
        <v>198</v>
      </c>
      <c r="B63" s="84" t="s">
        <v>214</v>
      </c>
    </row>
    <row r="64" spans="1:4">
      <c r="C64" s="6" t="s">
        <v>240</v>
      </c>
      <c r="D64" s="6" t="s">
        <v>241</v>
      </c>
    </row>
    <row r="65" spans="1:7">
      <c r="B65" t="s">
        <v>242</v>
      </c>
      <c r="C65" s="88">
        <v>160</v>
      </c>
      <c r="D65">
        <v>100</v>
      </c>
    </row>
    <row r="66" spans="1:7">
      <c r="B66" t="s">
        <v>312</v>
      </c>
      <c r="C66" s="88">
        <v>1220</v>
      </c>
    </row>
    <row r="67" spans="1:7">
      <c r="C67" s="134">
        <f>D65+C66-C65</f>
        <v>1160</v>
      </c>
      <c r="D67" s="88"/>
    </row>
    <row r="69" spans="1:7">
      <c r="A69" t="s">
        <v>199</v>
      </c>
      <c r="B69" t="s">
        <v>215</v>
      </c>
    </row>
    <row r="71" spans="1:7">
      <c r="B71" t="s">
        <v>244</v>
      </c>
      <c r="C71" s="3">
        <f>+C141</f>
        <v>360</v>
      </c>
    </row>
    <row r="72" spans="1:7">
      <c r="B72" t="s">
        <v>245</v>
      </c>
      <c r="C72" s="3">
        <f>+D113-C113</f>
        <v>360</v>
      </c>
    </row>
    <row r="73" spans="1:7">
      <c r="B73" t="s">
        <v>246</v>
      </c>
    </row>
    <row r="75" spans="1:7">
      <c r="A75" t="s">
        <v>311</v>
      </c>
      <c r="B75" s="128" t="s">
        <v>264</v>
      </c>
      <c r="C75" s="129"/>
      <c r="D75" s="129"/>
      <c r="E75" s="129"/>
      <c r="F75" s="90"/>
      <c r="G75" s="90"/>
    </row>
    <row r="76" spans="1:7" ht="27.6">
      <c r="B76" s="129"/>
      <c r="C76" s="130" t="s">
        <v>88</v>
      </c>
      <c r="D76" s="130" t="s">
        <v>247</v>
      </c>
      <c r="E76" s="130" t="s">
        <v>71</v>
      </c>
    </row>
    <row r="77" spans="1:7">
      <c r="B77" s="129"/>
      <c r="C77" s="130"/>
      <c r="D77" s="130"/>
      <c r="E77" s="130"/>
    </row>
    <row r="78" spans="1:7">
      <c r="B78" s="131" t="s">
        <v>248</v>
      </c>
      <c r="C78" s="130">
        <f>+D103</f>
        <v>8000</v>
      </c>
      <c r="D78" s="130">
        <f>+D106</f>
        <v>4200</v>
      </c>
      <c r="E78" s="130">
        <f>+D107</f>
        <v>6800</v>
      </c>
    </row>
    <row r="79" spans="1:7">
      <c r="B79" s="132" t="s">
        <v>249</v>
      </c>
      <c r="C79" s="130">
        <f>-D79</f>
        <v>2000</v>
      </c>
      <c r="D79" s="3">
        <f>-C78/4</f>
        <v>-2000</v>
      </c>
      <c r="E79" s="130"/>
    </row>
    <row r="80" spans="1:7">
      <c r="B80" s="132" t="s">
        <v>250</v>
      </c>
      <c r="C80" s="130">
        <f>+C83-C79-C78</f>
        <v>3800</v>
      </c>
      <c r="D80" s="130">
        <f>+D83-D79-D78</f>
        <v>7020</v>
      </c>
      <c r="E80" s="130" t="s">
        <v>251</v>
      </c>
    </row>
    <row r="81" spans="2:7">
      <c r="B81" s="132" t="s">
        <v>252</v>
      </c>
      <c r="C81" s="130"/>
      <c r="D81" s="130"/>
      <c r="E81" s="3">
        <f>+C142</f>
        <v>-1975</v>
      </c>
    </row>
    <row r="82" spans="2:7">
      <c r="B82" s="132" t="s">
        <v>200</v>
      </c>
      <c r="C82" s="130"/>
      <c r="D82" s="130"/>
      <c r="E82" s="130">
        <f>+E78+E81-E83</f>
        <v>3675</v>
      </c>
    </row>
    <row r="83" spans="2:7">
      <c r="B83" s="131" t="s">
        <v>253</v>
      </c>
      <c r="C83" s="130">
        <f>+C103</f>
        <v>13800</v>
      </c>
      <c r="D83" s="130">
        <f>+C106</f>
        <v>9220</v>
      </c>
      <c r="E83" s="130">
        <f>+C107</f>
        <v>1150</v>
      </c>
    </row>
    <row r="84" spans="2:7">
      <c r="B84" s="92"/>
      <c r="C84" s="127"/>
      <c r="D84" s="127"/>
      <c r="E84" s="127"/>
      <c r="F84" s="91"/>
      <c r="G84" s="91"/>
    </row>
    <row r="85" spans="2:7" ht="16.2">
      <c r="B85" s="93"/>
    </row>
    <row r="86" spans="2:7" hidden="1"/>
    <row r="87" spans="2:7" ht="15.6" hidden="1">
      <c r="B87" s="94" t="s">
        <v>254</v>
      </c>
    </row>
    <row r="88" spans="2:7" hidden="1"/>
    <row r="89" spans="2:7" ht="16.2" hidden="1" thickBot="1">
      <c r="B89" s="95" t="s">
        <v>255</v>
      </c>
      <c r="C89" s="96" t="s">
        <v>256</v>
      </c>
      <c r="D89" s="96" t="s">
        <v>257</v>
      </c>
    </row>
    <row r="90" spans="2:7" ht="15.6" hidden="1">
      <c r="B90" s="97" t="s">
        <v>51</v>
      </c>
      <c r="C90" s="98"/>
      <c r="D90" s="98"/>
    </row>
    <row r="91" spans="2:7" ht="15.6" hidden="1">
      <c r="B91" s="99"/>
      <c r="C91" s="98"/>
      <c r="D91" s="98"/>
    </row>
    <row r="92" spans="2:7" ht="15" hidden="1">
      <c r="B92" s="100" t="s">
        <v>101</v>
      </c>
      <c r="C92" s="101">
        <v>15450</v>
      </c>
      <c r="D92" s="101">
        <v>12250</v>
      </c>
    </row>
    <row r="93" spans="2:7" ht="15.6" hidden="1" thickBot="1">
      <c r="B93" s="100" t="s">
        <v>258</v>
      </c>
      <c r="C93" s="102">
        <v>1830</v>
      </c>
      <c r="D93" s="102">
        <v>2050</v>
      </c>
      <c r="E93" s="88"/>
    </row>
    <row r="94" spans="2:7" ht="15.6" hidden="1">
      <c r="B94" s="103" t="s">
        <v>259</v>
      </c>
      <c r="C94" s="104">
        <f>SUM(C92:C93)</f>
        <v>17280</v>
      </c>
      <c r="D94" s="104">
        <f>SUM(D92:D93)</f>
        <v>14300</v>
      </c>
    </row>
    <row r="95" spans="2:7" ht="15.6" hidden="1">
      <c r="B95" s="99"/>
      <c r="C95" s="92"/>
      <c r="D95" s="92"/>
    </row>
    <row r="96" spans="2:7" ht="15" hidden="1">
      <c r="B96" s="105" t="s">
        <v>260</v>
      </c>
      <c r="C96" s="101">
        <v>12570</v>
      </c>
      <c r="D96" s="101">
        <v>3800</v>
      </c>
    </row>
    <row r="97" spans="2:6" ht="15" hidden="1">
      <c r="B97" s="105" t="s">
        <v>261</v>
      </c>
      <c r="C97" s="101">
        <v>9130</v>
      </c>
      <c r="D97" s="101">
        <v>4560</v>
      </c>
    </row>
    <row r="98" spans="2:6" ht="15.6" hidden="1" thickBot="1">
      <c r="B98" s="105" t="s">
        <v>262</v>
      </c>
      <c r="C98" s="106">
        <v>620</v>
      </c>
      <c r="D98" s="106" t="s">
        <v>170</v>
      </c>
    </row>
    <row r="99" spans="2:6" ht="15.6" hidden="1">
      <c r="B99" s="103" t="s">
        <v>263</v>
      </c>
      <c r="C99" s="104">
        <f>SUM(C96:C98)</f>
        <v>22320</v>
      </c>
      <c r="D99" s="104">
        <f>SUM(D96:D98)</f>
        <v>8360</v>
      </c>
    </row>
    <row r="100" spans="2:6" ht="16.2" hidden="1" thickBot="1">
      <c r="B100" s="107"/>
      <c r="C100" s="108"/>
      <c r="D100" s="108"/>
    </row>
    <row r="101" spans="2:6" ht="16.2" hidden="1" thickBot="1">
      <c r="B101" s="97" t="s">
        <v>64</v>
      </c>
      <c r="C101" s="96">
        <f>+C99+C94</f>
        <v>39600</v>
      </c>
      <c r="D101" s="96">
        <f>+D99+D94</f>
        <v>22660</v>
      </c>
    </row>
    <row r="102" spans="2:6" ht="15.6" hidden="1">
      <c r="B102" s="97" t="s">
        <v>264</v>
      </c>
      <c r="C102" s="92"/>
      <c r="D102" s="92"/>
    </row>
    <row r="103" spans="2:6" ht="15" hidden="1">
      <c r="B103" s="100" t="s">
        <v>265</v>
      </c>
      <c r="C103" s="167">
        <v>13800</v>
      </c>
      <c r="D103" s="167">
        <v>8000</v>
      </c>
    </row>
    <row r="104" spans="2:6" ht="15" hidden="1">
      <c r="B104" s="100" t="s">
        <v>266</v>
      </c>
      <c r="C104" s="167"/>
      <c r="D104" s="167"/>
    </row>
    <row r="105" spans="2:6" ht="15" hidden="1">
      <c r="B105" s="100" t="s">
        <v>267</v>
      </c>
      <c r="C105" s="167"/>
      <c r="D105" s="167"/>
    </row>
    <row r="106" spans="2:6" ht="15" hidden="1">
      <c r="B106" s="105" t="s">
        <v>247</v>
      </c>
      <c r="C106" s="101">
        <v>9220</v>
      </c>
      <c r="D106" s="101">
        <v>4200</v>
      </c>
    </row>
    <row r="107" spans="2:6" ht="15.6" hidden="1" thickBot="1">
      <c r="B107" s="105" t="s">
        <v>71</v>
      </c>
      <c r="C107" s="102">
        <v>1150</v>
      </c>
      <c r="D107" s="102">
        <v>6800</v>
      </c>
    </row>
    <row r="108" spans="2:6" ht="15.6" hidden="1">
      <c r="B108" s="103" t="s">
        <v>268</v>
      </c>
      <c r="C108" s="104">
        <f>SUM(C106:C107)+C103</f>
        <v>24170</v>
      </c>
      <c r="D108" s="104">
        <f>SUM(D106:D107)+D103</f>
        <v>19000</v>
      </c>
    </row>
    <row r="109" spans="2:6" ht="15.6" hidden="1">
      <c r="B109" s="107"/>
      <c r="C109" s="92"/>
      <c r="D109" s="92"/>
    </row>
    <row r="110" spans="2:6" ht="15.6" hidden="1">
      <c r="B110" s="97" t="s">
        <v>269</v>
      </c>
      <c r="C110" s="92"/>
      <c r="D110" s="92"/>
    </row>
    <row r="111" spans="2:6" ht="15" hidden="1">
      <c r="B111" s="105" t="s">
        <v>4</v>
      </c>
      <c r="C111" s="101">
        <v>6000</v>
      </c>
      <c r="D111" s="109">
        <v>0</v>
      </c>
    </row>
    <row r="112" spans="2:6" ht="15" hidden="1">
      <c r="B112" s="105" t="s">
        <v>270</v>
      </c>
      <c r="C112" s="101">
        <v>4380</v>
      </c>
      <c r="D112" s="101">
        <v>1370</v>
      </c>
      <c r="F112" s="88"/>
    </row>
    <row r="113" spans="2:4" ht="15.6" hidden="1" thickBot="1">
      <c r="B113" s="105" t="s">
        <v>271</v>
      </c>
      <c r="C113" s="110">
        <v>20</v>
      </c>
      <c r="D113" s="106">
        <v>380</v>
      </c>
    </row>
    <row r="114" spans="2:4" ht="15.6" hidden="1">
      <c r="B114" s="103" t="s">
        <v>272</v>
      </c>
      <c r="C114" s="104">
        <f>SUM(C111:C113)</f>
        <v>10400</v>
      </c>
      <c r="D114" s="104">
        <v>1750</v>
      </c>
    </row>
    <row r="115" spans="2:4" ht="15.6" hidden="1">
      <c r="B115" s="107"/>
      <c r="C115" s="92"/>
      <c r="D115" s="92"/>
    </row>
    <row r="116" spans="2:4" ht="15" hidden="1">
      <c r="B116" s="105" t="s">
        <v>273</v>
      </c>
      <c r="C116" s="109" t="s">
        <v>170</v>
      </c>
      <c r="D116" s="109">
        <v>380</v>
      </c>
    </row>
    <row r="117" spans="2:4" ht="15" hidden="1">
      <c r="B117" s="105" t="s">
        <v>274</v>
      </c>
      <c r="C117" s="109">
        <v>160</v>
      </c>
      <c r="D117" s="109">
        <v>100</v>
      </c>
    </row>
    <row r="118" spans="2:4" ht="15" hidden="1">
      <c r="B118" s="105" t="s">
        <v>275</v>
      </c>
      <c r="C118" s="109">
        <v>220</v>
      </c>
      <c r="D118" s="109">
        <v>580</v>
      </c>
    </row>
    <row r="119" spans="2:4" ht="15.6" hidden="1" thickBot="1">
      <c r="B119" s="105" t="s">
        <v>276</v>
      </c>
      <c r="C119" s="102">
        <v>4650</v>
      </c>
      <c r="D119" s="106">
        <v>850</v>
      </c>
    </row>
    <row r="120" spans="2:4" ht="15.6" hidden="1">
      <c r="B120" s="103" t="s">
        <v>277</v>
      </c>
      <c r="C120" s="104">
        <f>SUM(C116:C119)</f>
        <v>5030</v>
      </c>
      <c r="D120" s="104">
        <v>1910</v>
      </c>
    </row>
    <row r="121" spans="2:4" ht="16.2" hidden="1" thickBot="1">
      <c r="B121" s="107"/>
      <c r="C121" s="108"/>
      <c r="D121" s="108"/>
    </row>
    <row r="122" spans="2:4" ht="16.2" hidden="1" thickBot="1">
      <c r="B122" s="97" t="s">
        <v>278</v>
      </c>
      <c r="C122" s="96">
        <f>+C120+C114</f>
        <v>15430</v>
      </c>
      <c r="D122" s="96">
        <v>3660</v>
      </c>
    </row>
    <row r="123" spans="2:4" ht="31.8" hidden="1" thickBot="1">
      <c r="B123" s="97" t="s">
        <v>279</v>
      </c>
      <c r="C123" s="96">
        <f>+C122+C108</f>
        <v>39600</v>
      </c>
      <c r="D123" s="96">
        <v>22660</v>
      </c>
    </row>
    <row r="124" spans="2:4" hidden="1"/>
    <row r="125" spans="2:4" hidden="1">
      <c r="C125" s="88"/>
    </row>
    <row r="126" spans="2:4" hidden="1"/>
    <row r="127" spans="2:4" ht="15.6" hidden="1">
      <c r="B127" s="94" t="s">
        <v>280</v>
      </c>
    </row>
    <row r="128" spans="2:4" ht="15" hidden="1">
      <c r="B128" s="111"/>
    </row>
    <row r="129" spans="2:4" ht="15.6" hidden="1">
      <c r="B129" s="99" t="s">
        <v>281</v>
      </c>
      <c r="C129" s="112">
        <v>2024</v>
      </c>
      <c r="D129" s="112">
        <v>2023</v>
      </c>
    </row>
    <row r="130" spans="2:4" ht="15.6" hidden="1">
      <c r="B130" s="103" t="s">
        <v>282</v>
      </c>
      <c r="C130" s="114">
        <v>-4658</v>
      </c>
      <c r="D130" s="114">
        <v>-2660</v>
      </c>
    </row>
    <row r="131" spans="2:4" ht="15.6" hidden="1">
      <c r="B131" s="105" t="s">
        <v>283</v>
      </c>
      <c r="C131" s="115"/>
      <c r="D131" s="115"/>
    </row>
    <row r="132" spans="2:4" ht="15.6" hidden="1">
      <c r="B132" s="116" t="s">
        <v>284</v>
      </c>
      <c r="C132" s="117">
        <v>-650</v>
      </c>
      <c r="D132" s="117">
        <v>-1680</v>
      </c>
    </row>
    <row r="133" spans="2:4" ht="15.6" hidden="1">
      <c r="B133" s="116" t="s">
        <v>285</v>
      </c>
      <c r="C133" s="118">
        <v>-220</v>
      </c>
      <c r="D133" s="118">
        <v>-220</v>
      </c>
    </row>
    <row r="134" spans="2:4" ht="15.6" hidden="1">
      <c r="B134" s="103" t="s">
        <v>29</v>
      </c>
      <c r="C134" s="119">
        <v>2602</v>
      </c>
      <c r="D134" s="119">
        <v>5140</v>
      </c>
    </row>
    <row r="135" spans="2:4" ht="15" hidden="1">
      <c r="B135" s="105" t="s">
        <v>32</v>
      </c>
      <c r="C135" s="120">
        <v>-4120</v>
      </c>
      <c r="D135" s="120">
        <v>-8000</v>
      </c>
    </row>
    <row r="136" spans="2:4" ht="15" hidden="1">
      <c r="B136" s="105" t="s">
        <v>286</v>
      </c>
      <c r="C136" s="121">
        <v>500</v>
      </c>
      <c r="D136" s="121" t="s">
        <v>170</v>
      </c>
    </row>
    <row r="137" spans="2:4" ht="15.6" hidden="1">
      <c r="B137" s="103" t="s">
        <v>287</v>
      </c>
      <c r="C137" s="119">
        <v>-1018</v>
      </c>
      <c r="D137" s="119">
        <v>-2860</v>
      </c>
    </row>
    <row r="138" spans="2:4" ht="15" hidden="1">
      <c r="B138" s="105" t="s">
        <v>35</v>
      </c>
      <c r="C138" s="120">
        <v>-1220</v>
      </c>
      <c r="D138" s="120">
        <v>-75</v>
      </c>
    </row>
    <row r="139" spans="2:4" ht="15.6" hidden="1">
      <c r="B139" s="105" t="s">
        <v>288</v>
      </c>
      <c r="C139" s="121">
        <v>-97</v>
      </c>
      <c r="D139" s="118">
        <v>69</v>
      </c>
    </row>
    <row r="140" spans="2:4" ht="15.6" hidden="1">
      <c r="B140" s="103" t="s">
        <v>157</v>
      </c>
      <c r="C140" s="119">
        <v>-2335</v>
      </c>
      <c r="D140" s="119">
        <v>-2866</v>
      </c>
    </row>
    <row r="141" spans="2:4" ht="15" hidden="1">
      <c r="B141" s="105" t="s">
        <v>289</v>
      </c>
      <c r="C141" s="122">
        <v>360</v>
      </c>
      <c r="D141" s="122">
        <v>-284</v>
      </c>
    </row>
    <row r="142" spans="2:4" ht="15.6" hidden="1">
      <c r="B142" s="103" t="s">
        <v>290</v>
      </c>
      <c r="C142" s="113">
        <f>+C140+C141</f>
        <v>-1975</v>
      </c>
      <c r="D142" s="113">
        <v>-3150</v>
      </c>
    </row>
    <row r="146" spans="2:9" ht="19.95" customHeight="1">
      <c r="B146" s="133" t="s">
        <v>294</v>
      </c>
      <c r="H146" s="1">
        <v>0.5</v>
      </c>
      <c r="I146" t="s">
        <v>27</v>
      </c>
    </row>
    <row r="147" spans="2:9" ht="19.95" customHeight="1">
      <c r="B147" s="133" t="s">
        <v>306</v>
      </c>
      <c r="H147" s="1">
        <v>0.5</v>
      </c>
      <c r="I147" t="s">
        <v>27</v>
      </c>
    </row>
    <row r="148" spans="2:9" ht="19.95" customHeight="1">
      <c r="B148" s="133" t="s">
        <v>307</v>
      </c>
      <c r="H148" s="1">
        <v>0.5</v>
      </c>
      <c r="I148" t="s">
        <v>27</v>
      </c>
    </row>
    <row r="149" spans="2:9" ht="19.95" customHeight="1">
      <c r="B149" s="133" t="s">
        <v>291</v>
      </c>
      <c r="H149" s="1">
        <v>0.5</v>
      </c>
      <c r="I149" t="s">
        <v>27</v>
      </c>
    </row>
    <row r="150" spans="2:9" ht="19.95" customHeight="1">
      <c r="B150" s="133" t="s">
        <v>296</v>
      </c>
      <c r="H150" s="1">
        <v>0.5</v>
      </c>
      <c r="I150" t="s">
        <v>27</v>
      </c>
    </row>
    <row r="151" spans="2:9" ht="19.95" customHeight="1">
      <c r="B151" s="133" t="s">
        <v>308</v>
      </c>
      <c r="H151" s="1">
        <v>0.5</v>
      </c>
      <c r="I151" t="s">
        <v>27</v>
      </c>
    </row>
    <row r="152" spans="2:9" ht="19.95" customHeight="1">
      <c r="B152" s="133" t="s">
        <v>292</v>
      </c>
      <c r="H152" s="1">
        <v>0.5</v>
      </c>
      <c r="I152" t="s">
        <v>27</v>
      </c>
    </row>
    <row r="153" spans="2:9" ht="19.95" customHeight="1">
      <c r="B153" s="133" t="s">
        <v>293</v>
      </c>
      <c r="H153" s="1">
        <v>0.5</v>
      </c>
      <c r="I153" t="s">
        <v>27</v>
      </c>
    </row>
    <row r="154" spans="2:9" ht="19.95" customHeight="1">
      <c r="B154" s="133" t="s">
        <v>295</v>
      </c>
      <c r="H154" s="1">
        <v>0.5</v>
      </c>
      <c r="I154" t="s">
        <v>27</v>
      </c>
    </row>
    <row r="155" spans="2:9" ht="19.95" customHeight="1">
      <c r="B155" s="133" t="s">
        <v>297</v>
      </c>
      <c r="H155" s="1">
        <v>0.5</v>
      </c>
      <c r="I155" t="s">
        <v>27</v>
      </c>
    </row>
    <row r="156" spans="2:9" ht="19.95" customHeight="1"/>
    <row r="157" spans="2:9" ht="19.95" customHeight="1">
      <c r="H157" s="1">
        <f>SUM(H146:H156)</f>
        <v>5</v>
      </c>
      <c r="I157" t="s">
        <v>27</v>
      </c>
    </row>
    <row r="158" spans="2:9" ht="19.95" customHeight="1"/>
    <row r="159" spans="2:9">
      <c r="G159" t="s">
        <v>128</v>
      </c>
      <c r="H159" s="1">
        <f>SUM(H157,H37)</f>
        <v>25</v>
      </c>
      <c r="I159" t="s">
        <v>27</v>
      </c>
    </row>
  </sheetData>
  <mergeCells count="2">
    <mergeCell ref="C103:C105"/>
    <mergeCell ref="D103:D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1-9</vt:lpstr>
      <vt:lpstr>1-10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2025-07-04T11:48:27Z</dcterms:modified>
</cp:coreProperties>
</file>