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D7855160-EEB6-4684-8EEF-CF055B39BF1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Շահութահարկ" sheetId="1" r:id="rId1"/>
    <sheet name="2. ԱԱՀ" sheetId="9" r:id="rId2"/>
    <sheet name="3.Եկամտային" sheetId="2" r:id="rId3"/>
    <sheet name="4" sheetId="10" r:id="rId4"/>
    <sheet name="5" sheetId="11" r:id="rId5"/>
  </sheets>
  <definedNames>
    <definedName name="_xlnm._FilterDatabase" localSheetId="0" hidden="1">'1.Շահութահարկ'!$A$11:$G$30</definedName>
    <definedName name="_xlnm._FilterDatabase" localSheetId="1" hidden="1">'2. ԱԱՀ'!$AE$2:$AI$30</definedName>
    <definedName name="_Hlk104498805" localSheetId="0">'1.Շահութահարկ'!$B$13</definedName>
    <definedName name="Sq.m." localSheetId="1">#REF!</definedName>
    <definedName name="Sq.m.">#REF!</definedName>
    <definedName name="Uk" localSheetId="1">#REF!</definedName>
    <definedName name="Uk">#REF!</definedName>
    <definedName name="uNITCOSTPRICE" localSheetId="1">#REF!</definedName>
    <definedName name="uNITCOSTPRI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E9" i="11"/>
  <c r="C59" i="1"/>
  <c r="C53" i="1"/>
  <c r="F25" i="2" l="1"/>
  <c r="D10" i="11" l="1"/>
  <c r="C5" i="11"/>
  <c r="D5" i="11" s="1"/>
  <c r="D4" i="11"/>
  <c r="F24" i="2" l="1"/>
  <c r="E36" i="2" s="1"/>
  <c r="E24" i="2"/>
  <c r="D35" i="2" s="1"/>
  <c r="B36" i="2"/>
  <c r="B35" i="2"/>
  <c r="B34" i="2"/>
  <c r="B33" i="2"/>
  <c r="G34" i="2"/>
  <c r="E25" i="2" l="1"/>
  <c r="E35" i="2" s="1"/>
  <c r="D36" i="2"/>
  <c r="D24" i="2"/>
  <c r="E5" i="2"/>
  <c r="E8" i="2" s="1"/>
  <c r="F15" i="2"/>
  <c r="E16" i="2"/>
  <c r="E15" i="2"/>
  <c r="D17" i="2"/>
  <c r="D18" i="2" s="1"/>
  <c r="C15" i="2"/>
  <c r="C17" i="2" s="1"/>
  <c r="D29" i="2" s="1"/>
  <c r="F11" i="2"/>
  <c r="F8" i="2"/>
  <c r="D5" i="2"/>
  <c r="D8" i="2" s="1"/>
  <c r="C11" i="2"/>
  <c r="C9" i="2"/>
  <c r="F29" i="2" s="1"/>
  <c r="C8" i="2"/>
  <c r="C12" i="2" s="1"/>
  <c r="F12" i="2" l="1"/>
  <c r="D25" i="2"/>
  <c r="D34" i="2"/>
  <c r="D30" i="2"/>
  <c r="E11" i="2"/>
  <c r="E12" i="2" s="1"/>
  <c r="E17" i="2"/>
  <c r="C18" i="2"/>
  <c r="E29" i="2" s="1"/>
  <c r="D11" i="2"/>
  <c r="D9" i="2"/>
  <c r="D12" i="2" l="1"/>
  <c r="E34" i="2"/>
  <c r="E18" i="2"/>
  <c r="E31" i="2" s="1"/>
  <c r="D31" i="2"/>
  <c r="B32" i="2"/>
  <c r="B31" i="2"/>
  <c r="B30" i="2"/>
  <c r="B29" i="2"/>
  <c r="S28" i="9"/>
  <c r="S26" i="9" s="1"/>
  <c r="S13" i="9"/>
  <c r="AF40" i="9"/>
  <c r="S52" i="9" s="1"/>
  <c r="AF13" i="9"/>
  <c r="AF14" i="9" s="1"/>
  <c r="Z13" i="9" s="1"/>
  <c r="S40" i="9"/>
  <c r="AF39" i="9"/>
  <c r="Z51" i="9" s="1"/>
  <c r="AF33" i="9"/>
  <c r="AF25" i="9" s="1"/>
  <c r="AF31" i="9"/>
  <c r="S41" i="9" s="1"/>
  <c r="S50" i="9"/>
  <c r="AF29" i="9"/>
  <c r="Z49" i="9" s="1"/>
  <c r="AF27" i="9"/>
  <c r="AF28" i="9" s="1"/>
  <c r="Z40" i="9" s="1"/>
  <c r="AF26" i="9"/>
  <c r="Z48" i="9" s="1"/>
  <c r="S22" i="9"/>
  <c r="AF23" i="9"/>
  <c r="AF22" i="9"/>
  <c r="AF19" i="9"/>
  <c r="AF18" i="9"/>
  <c r="AF20" i="9"/>
  <c r="AF16" i="9"/>
  <c r="AF17" i="9" s="1"/>
  <c r="Z17" i="9" s="1"/>
  <c r="C36" i="1"/>
  <c r="E29" i="1"/>
  <c r="E28" i="1"/>
  <c r="C64" i="1"/>
  <c r="C65" i="1"/>
  <c r="C27" i="1"/>
  <c r="C55" i="1"/>
  <c r="E19" i="1" s="1"/>
  <c r="C45" i="1"/>
  <c r="C43" i="1"/>
  <c r="C66" i="1" s="1"/>
  <c r="C42" i="1"/>
  <c r="E12" i="1" s="1"/>
  <c r="E15" i="1"/>
  <c r="C57" i="1"/>
  <c r="E21" i="1" s="1"/>
  <c r="E26" i="1"/>
  <c r="C63" i="1"/>
  <c r="E25" i="1" s="1"/>
  <c r="C62" i="1"/>
  <c r="E24" i="1"/>
  <c r="C60" i="1"/>
  <c r="C61" i="1" s="1"/>
  <c r="C58" i="1"/>
  <c r="E23" i="1"/>
  <c r="E22" i="1"/>
  <c r="C54" i="1"/>
  <c r="E18" i="1"/>
  <c r="C48" i="1"/>
  <c r="E16" i="1" s="1"/>
  <c r="C47" i="1"/>
  <c r="C51" i="1"/>
  <c r="C50" i="1"/>
  <c r="E17" i="1" s="1"/>
  <c r="C49" i="1"/>
  <c r="E14" i="1"/>
  <c r="E20" i="1"/>
  <c r="E7" i="1"/>
  <c r="C41" i="1"/>
  <c r="E8" i="1" s="1"/>
  <c r="E3" i="1"/>
  <c r="E4" i="1"/>
  <c r="E5" i="1"/>
  <c r="E2" i="1"/>
  <c r="C9" i="1"/>
  <c r="E9" i="1" l="1"/>
  <c r="E27" i="1"/>
  <c r="AF36" i="9"/>
  <c r="Z46" i="9"/>
  <c r="S46" i="9"/>
  <c r="AF37" i="9"/>
  <c r="Z41" i="9" s="1"/>
  <c r="AF21" i="9"/>
  <c r="Z18" i="9" s="1"/>
  <c r="S17" i="9"/>
  <c r="C30" i="1" l="1"/>
  <c r="E11" i="11"/>
  <c r="E12" i="11" s="1"/>
  <c r="D7" i="11"/>
  <c r="D12" i="11" s="1"/>
  <c r="G32" i="2"/>
  <c r="G31" i="2"/>
  <c r="F32" i="2"/>
  <c r="D32" i="2"/>
  <c r="D37" i="2" s="1"/>
  <c r="G30" i="2"/>
  <c r="F30" i="2"/>
  <c r="G29" i="2"/>
  <c r="G37" i="2" l="1"/>
  <c r="E30" i="2"/>
  <c r="E32" i="2"/>
  <c r="E37" i="2" l="1"/>
  <c r="F31" i="2"/>
  <c r="F37" i="2" l="1"/>
  <c r="Z36" i="9"/>
  <c r="S36" i="9"/>
  <c r="S54" i="9" l="1"/>
  <c r="S63" i="9" s="1"/>
  <c r="E13" i="1" l="1"/>
  <c r="E30" i="1" s="1"/>
  <c r="E32" i="1" l="1"/>
  <c r="E33" i="1" l="1"/>
  <c r="E35" i="1" s="1"/>
</calcChain>
</file>

<file path=xl/sharedStrings.xml><?xml version="1.0" encoding="utf-8"?>
<sst xmlns="http://schemas.openxmlformats.org/spreadsheetml/2006/main" count="397" uniqueCount="288">
  <si>
    <t>Եկամուտներ</t>
  </si>
  <si>
    <t>Նվազեցումներ</t>
  </si>
  <si>
    <t>Հ4</t>
  </si>
  <si>
    <t>Հ5</t>
  </si>
  <si>
    <t>Հ6</t>
  </si>
  <si>
    <t>Հ7</t>
  </si>
  <si>
    <t>Հ3</t>
  </si>
  <si>
    <t>հ/հ</t>
  </si>
  <si>
    <t>Անուն Ազգանուն</t>
  </si>
  <si>
    <t>Պաշտոն</t>
  </si>
  <si>
    <t>Զուտ աշխատավարձը</t>
  </si>
  <si>
    <t>Տնօրեն</t>
  </si>
  <si>
    <t>Եկամտային հարկ</t>
  </si>
  <si>
    <t>Դրոշմանիշային վճար</t>
  </si>
  <si>
    <t xml:space="preserve">Ընդամենը </t>
  </si>
  <si>
    <t>Ընդամենը</t>
  </si>
  <si>
    <t>2. Հարկ վճարողի հաշվառման համարը</t>
  </si>
  <si>
    <t>3. ԱԱՀ վճարողի հաշվառման համարը</t>
  </si>
  <si>
    <t>/</t>
  </si>
  <si>
    <t>Տարի</t>
  </si>
  <si>
    <t>Ամիս</t>
  </si>
  <si>
    <t>ԱԱՀ-ի կրեդիտ</t>
  </si>
  <si>
    <t>[Ա]. Հարկման բազա</t>
  </si>
  <si>
    <t>X</t>
  </si>
  <si>
    <t>9. ԱԱՀ-ի 16.67% հաշվարկային դրույքաչափով հաշվարկվող</t>
  </si>
  <si>
    <t>10. ԱԱՀ-ի գծով այլ հարկային պարտավորություն</t>
  </si>
  <si>
    <t>12. ԱԱՀ-ի 0-ական դրույքաչափով հարկվող գործարքների, այդ թվում`</t>
  </si>
  <si>
    <t>1) Հարկային օրենսգրքի հոդված</t>
  </si>
  <si>
    <t>3) կետ</t>
  </si>
  <si>
    <t>13. ԱԱՀ-ից ազատված գործարքների, այդ թվում`</t>
  </si>
  <si>
    <t>[Ա]. Ավելացում</t>
  </si>
  <si>
    <t>[Բ]. Պակասեցում</t>
  </si>
  <si>
    <t>ԱԱՀ-ի դեբետ</t>
  </si>
  <si>
    <t>[Ա]. Արժեք</t>
  </si>
  <si>
    <t>17. ՀՀ տարածք ներմուծված ապրանքների</t>
  </si>
  <si>
    <t>18. ՀՀ տարածքում ձեռք բերված ապրանքների և ծառայությունների</t>
  </si>
  <si>
    <t>19. Ձեռքբերումներին վերաբերող ճշգրտող հարկային հաշիվներով գործարքների</t>
  </si>
  <si>
    <t>[Ա]. դրական</t>
  </si>
  <si>
    <t>[Բ]. բացասական</t>
  </si>
  <si>
    <t>22. Ներմուծված այն ապրանքների, որոնց մասով հարկային օրենսգրքի 79-րդ հոդվածի համաձայն առաջանում է պետական բյուջե վճարման ենթակա ԱԱՀ-ի գումար</t>
  </si>
  <si>
    <t xml:space="preserve">23. Հաշվետու ժամանակաշրջանի համար հաշվարկված ԱԱՀ
- եթե լրացված է [21.Ա] վանդակը` ապա ([16.Բ] - [21.Ա]),
- եթե լրացված է [21.Բ] վանդակը` ապա ([16. Բ] + [21.Բ ]):
Եթե նշված գործողության արդյունքը դրական է` լրացվում է [Ա] վանդակը, եթե բացասական` լրացվում է [Բ] վանդակը, եթե հավասար է 0-ի` [Ա] և [Բ] վանդակներում լրացվում է «0»:
</t>
  </si>
  <si>
    <t>[Ա]. Պետական բյուջե վճարման ենթակա ԱԱՀ-ի գումար</t>
  </si>
  <si>
    <t>[Բ]. Պետական բյուջեից փոխհատուցման ենթակա ԱԱՀ-ի գումար</t>
  </si>
  <si>
    <t>Եկամտային
հարկ</t>
  </si>
  <si>
    <t xml:space="preserve">Հղում հաշվարկին </t>
  </si>
  <si>
    <t>Հարկվող շահույթը</t>
  </si>
  <si>
    <t>Գումարը</t>
  </si>
  <si>
    <t>Հարկային նպատակներով հաշվարկված նվազեցումները</t>
  </si>
  <si>
    <t>Հարկային նպատակներով հաշվարկված եկամուտները</t>
  </si>
  <si>
    <t>ԲԱԺԻն Ա, Խնդիր 2. Ավելացված արժեքի հարկի  վերաբերյալ</t>
  </si>
  <si>
    <t>հազ. դրամ</t>
  </si>
  <si>
    <t>Միասնական հաշվարկ ավելացված արժեքի հարկի և ակցիզային հարկի</t>
  </si>
  <si>
    <t>1.Փաստաթղթի հերթական համարը-------------(լրացվում է հարկային մարմնի կողմից)</t>
  </si>
  <si>
    <t>4. Հարկ վճարողը</t>
  </si>
  <si>
    <t>5. Հարկ վճարողի գտնվելու վայրը</t>
  </si>
  <si>
    <t>6. Հաշվետու ժամանակաշրջանը</t>
  </si>
  <si>
    <t>7.Ներկայացման ամսաթիվը, ամիսը, տարեթիվը</t>
  </si>
  <si>
    <t>(հազար դրամ)</t>
  </si>
  <si>
    <t xml:space="preserve">[Ա]. </t>
  </si>
  <si>
    <t xml:space="preserve">[Բ]. </t>
  </si>
  <si>
    <t>Հարկման բազա</t>
  </si>
  <si>
    <t xml:space="preserve">ԱԱՀ կրեդիտ </t>
  </si>
  <si>
    <t>7. ԱԱՀ-ի 20% դրույքաչափով հարկվող գործարքներ</t>
  </si>
  <si>
    <t>8. Ճշգրտող հարկային հաշիվներով գործարքներ</t>
  </si>
  <si>
    <t>1) նվազեցում</t>
  </si>
  <si>
    <t>2) ավելացում</t>
  </si>
  <si>
    <t>11. Մատակարարի անունից դուրս գրված ճշգրտող հարկային հաշիվներով գործարքների</t>
  </si>
  <si>
    <t xml:space="preserve">2) մաս                                                </t>
  </si>
  <si>
    <t>14. Արտոնագրային հարկով հարկվող գործունեությունից, այդ թվում`</t>
  </si>
  <si>
    <t>15. Հաշվարկված ԱԱՀ-ի հարկային պարտավորությունների (ԱԱՀ-ի կրեդիտի) ճշգրտում</t>
  </si>
  <si>
    <t>16. Ընդամենը ԱԱՀ-ի կրեդիտ</t>
  </si>
  <si>
    <t xml:space="preserve">[Ա]=([7.Ա]-[8.1Ա]+[8.2Ա]+([9.Ա]-[9.Բ])+[12.Ա]+[13.Ա]+[14.Ա]
[Բ]=([7.Բ]-[8.1Բ]+[8.2Բ]+[9.Բ]+[10.Բ]-[11.1Բ]+[11.2Բ]+[15.Ա]-[15.Բ]
</t>
  </si>
  <si>
    <t xml:space="preserve">[Բ].ԱԱՀ դեբետ  </t>
  </si>
  <si>
    <t>20. Հաշվանցման (պակասեցման) ենթակա ԱԱՀ-ի գումարի ճշգրտման ընդհանուր գումարը, այդ թվում` ըստ ճշգրտման հիմքերի.</t>
  </si>
  <si>
    <t xml:space="preserve">21. Ընդամենը ԱԱՀ-ի դեբետ ([17.Բ]+[18.Բ]-[19.1Բ]+[19.2Բ]+[20.Ա]-[20.Բ])
Եթե գործողության արդյունքը`
- հավասար է 0-ի` [Ա] և [Բ] վանդակներում լրացվում է «0»
- դրական է` լրացվում է [Ա] վանդակը,
- բացասական է` լրացվում է [Բ] վանդակը
</t>
  </si>
  <si>
    <t>[Ա].Հարկման բազա</t>
  </si>
  <si>
    <t xml:space="preserve">[Բ]. Հաշվարկված ԱԱՀ գումարը </t>
  </si>
  <si>
    <t>²²Ð-Ç Ñ³ßí³ñÏÁ Éñ³óÝ»Éáõ Ñ³Ù³ñ</t>
  </si>
  <si>
    <t>ԸՆԴԱՄԵՆԸ</t>
  </si>
  <si>
    <t>Սոցիալական վճար</t>
  </si>
  <si>
    <t>Հ8</t>
  </si>
  <si>
    <t>Հ9</t>
  </si>
  <si>
    <t>Շահութահարկ 18%</t>
  </si>
  <si>
    <t>Հ10</t>
  </si>
  <si>
    <t>Ինժեներ</t>
  </si>
  <si>
    <t>Վարորդ</t>
  </si>
  <si>
    <t>Սոց․ վճար</t>
  </si>
  <si>
    <t>սոց վճար վճարող</t>
  </si>
  <si>
    <t>Գլխ․ հաշվապահ</t>
  </si>
  <si>
    <t>Գումար</t>
  </si>
  <si>
    <t>Շահաբաժին</t>
  </si>
  <si>
    <t>Գործողություն</t>
  </si>
  <si>
    <t>Նվազեցվող</t>
  </si>
  <si>
    <t>Հարկվող</t>
  </si>
  <si>
    <t>Այլ եկամուտ</t>
  </si>
  <si>
    <t>Այո</t>
  </si>
  <si>
    <t>Ոչ ռեզիդենտի շահութահարկ</t>
  </si>
  <si>
    <t>ՀՀ</t>
  </si>
  <si>
    <t>Օրենսդրական հիմք/Մեկնաբանություն</t>
  </si>
  <si>
    <t>Հազ․ դրամ</t>
  </si>
  <si>
    <t>Լուծման քայլեր</t>
  </si>
  <si>
    <t>Վճարող</t>
  </si>
  <si>
    <t>Հարկային գործակալ</t>
  </si>
  <si>
    <t>Ընկերություն</t>
  </si>
  <si>
    <t>Օրապահիկի սահմանված չափի գերազանցում</t>
  </si>
  <si>
    <t>Հարկվող
եկամուտ</t>
  </si>
  <si>
    <t>Տույժ՝ հարկերը կամ վճարները Օրենսգրքով կամ վճարների վերաբերյալ ՀՀ օրենքներով սահմանված ժամկետներում չվճարելու կամ այդ ժամկետներից ուշ վճարելու համար Օրենսգրքով սահմանված պատասխանատվության միջոց.</t>
  </si>
  <si>
    <t>Եթե այն սկսվում է Հայաստանի Հանրապետությունում և ավարտվում է Հայաստանի Հանրապետության տարածքից դուրս կամ եթե այն սկսվում է Հայաստանի Հանրապետության տարածքից դուրս և ավարտվում է Հայաստանի Հանրապետության տարածքում</t>
  </si>
  <si>
    <t>Հարկի դրույքաչափն այն արժեքային (տոկոսային) և (կամ) հաստատուն մեծությունն է, որը կիրառվում է հարկման բազայի նկատմամբ՝ հարկի չափը որոշելու համար</t>
  </si>
  <si>
    <t>Ռեզիդենտ շահութահարկ վճարողի հայեցողությամբ, բայց ոչ պակաս, քան մեկ տարի։</t>
  </si>
  <si>
    <t>Նախորդ հարկային տարվա շահութահարկի գումարի 20 տոկոսով հաշվարկվող գումարի և նախորդ եռամսյակի ընթացքում ապրանքների մատակարարումից, աշխատանքների կատարումից և (կամ) ծառայությունների մատուցումից ստացվող եկամուտների երկու տոկոսով հաշվարկվող գումարի նվազագույնի չափով:</t>
  </si>
  <si>
    <t>5 տոկոս։</t>
  </si>
  <si>
    <t>Ոչ</t>
  </si>
  <si>
    <t>Անշարժ գույքի հարկով հարկման օբյեկտ է համարվում անշարժ գույքը` հողամասերը և (կամ) դրանց բարելավումները:</t>
  </si>
  <si>
    <t>Հարկման օբյեկտ չի համարվում։</t>
  </si>
  <si>
    <t>Հաշվառող մարմինը` «Տեղական ինքնակառավարման մասին» ՀՀ օրենքով սահմանված` տեղական ինքնակառավարման մարմիններ։</t>
  </si>
  <si>
    <t>Շինանյութերի իրացումից հասույթ</t>
  </si>
  <si>
    <t>Հողամասի իրացումից հասույթ</t>
  </si>
  <si>
    <t>Պահեստի մի մասի ենթավարձակալության հանձնելուց հասույթ</t>
  </si>
  <si>
    <t>Աշխատակցի կողմից Ընկերության գույքին պատճառված վնասի հատուցումից եկամուտ</t>
  </si>
  <si>
    <t>Ներդրումային ֆոնդում մասնակցությունը հավաստող արժեթղթերից ստացված շահաբաժին</t>
  </si>
  <si>
    <t>Արտարժույթի, արտարժույթով արտահայտված այլ ակտիվների կամ պարտավորությունների վերագնահատման դրական արդյունք</t>
  </si>
  <si>
    <t xml:space="preserve">Հողամասի սկզբնական արժեքը </t>
  </si>
  <si>
    <t>Հողամասի արժեքի՝ դեռևս եկամուտ չհամարված մասի եկամտագրում</t>
  </si>
  <si>
    <t>Հ1.1</t>
  </si>
  <si>
    <t>Հ1.0</t>
  </si>
  <si>
    <t>Վաճառված շինանյութի ինքնարժեք</t>
  </si>
  <si>
    <t>Վարչական անձնակազմի աշխատավարձի, կոմունալ, գրասենյակային, հիմնական միջոցների մաշվածության ծախսեր</t>
  </si>
  <si>
    <t> ՀՀ տարածքից դուրս գործուղման ծախսեր</t>
  </si>
  <si>
    <t>Իրացման անձնակազմի աշխատավարձի, կոմունալ, գրասենյակային, հիմնական միջոցների մաշվածության ծախսեր</t>
  </si>
  <si>
    <t>Աշխատակիցների սննդի կազմակերպման ծախսեր</t>
  </si>
  <si>
    <t>Իրացված հողամասի ինքնարժեք</t>
  </si>
  <si>
    <t>Վարձակալական վճարներ</t>
  </si>
  <si>
    <t>Ներդրումային ֆոնդերում մասնակցությունը հավաստող արժեթղթերի ձեռքբերման հետ կապված այլ ծախսերը</t>
  </si>
  <si>
    <t>Ամբարձիչի լուծարման ծախսեր</t>
  </si>
  <si>
    <t>Ֆիզիկական անձից ստացված փոխառության գծով հաշվարկված տոկոս</t>
  </si>
  <si>
    <t>Վարձակալված գրասենյակի վերանորոգման ծախս</t>
  </si>
  <si>
    <t>Աշխատակցի կողմից Ընկերության գույքին պատճառված վնասի ինքնարժեք</t>
  </si>
  <si>
    <t>Այլ ծախսեր</t>
  </si>
  <si>
    <t>Ոչ ռեզիդենտ հաճախորդից ստացված գումարներից ՀՀ տարածքից դուրս միջնորդ բանկերից պահված գումարներ</t>
  </si>
  <si>
    <t>Հողամասի արժեքի՝ դեռևս եկամուտ չհամարված մասի 2,000/10*9 եկամտագրում</t>
  </si>
  <si>
    <t>Օրապահիկի նվազեցվող սահմանաչափ 20օր*30</t>
  </si>
  <si>
    <t>Օրապահիկի նվազեցվող սահմանաչափը գերազանցող մաս 20օր*45-600</t>
  </si>
  <si>
    <t>Գործուղման ծախսերի համախառն եկամտից սահմանաչափ 371,650*5%</t>
  </si>
  <si>
    <t>Հաշվապահական և հարկային մաշվածքների դրական տարբերություն</t>
  </si>
  <si>
    <t>Կամավոր կենսաթոշակային վճարի նվազեցվող սահմանաչափ 7,200*7.5%</t>
  </si>
  <si>
    <t>Կամավոր կենսաթոշակային վճարի չնվազեցվող մաս 720-540</t>
  </si>
  <si>
    <t>Պարգևավճարի գծով պահուստի նվազեցում</t>
  </si>
  <si>
    <t>Հաշվանդամ աշխատակցի համար ավել նվազեցվող ծախս (600-120)*150%</t>
  </si>
  <si>
    <t>Փոխառության տոկոսային ծախսի տոկոսային սահմանաչափ 2*12%</t>
  </si>
  <si>
    <t>Փոխառության տոկոսային ծախսի սեփական կապիտալով սահմանաչափ 2*1,500</t>
  </si>
  <si>
    <t>Փոխառության տոկոսային ծախսի նվազեցվող մաս min(4,600-46  3,000)</t>
  </si>
  <si>
    <t>Հարկային հաշվառմամբ վերանորգման կապիտալ ծախսի մաշվածություն 840/240*10</t>
  </si>
  <si>
    <t>Կապիտալ ծախսի չամորտիզացված մաս 840-35</t>
  </si>
  <si>
    <t>Սննդի կազմակերպման  և աշխատակիցների կոլեկտիվ հանգստի կազմակերպման  ծախսերի  սահմանաչափ 371,650*0․25%</t>
  </si>
  <si>
    <t>Չնվազեցվող վարձակալական վճար (125-100)*4</t>
  </si>
  <si>
    <t>Ենթավարձակալություն մասի տրման վարձակալական վճար մինիմալ չափ 500/4</t>
  </si>
  <si>
    <t>ԱԱՀ–ից ազատված գործարքների համար ԱԱՀ պակասեցված գումարներ</t>
  </si>
  <si>
    <t>Շահութահարկի կանխավճար</t>
  </si>
  <si>
    <t>2021թ․-ի 4-րդ եռամսյակի ապրանքների մատակարարումից, աշխատանքների կատարումից և (կամ) ծառայությունների մատուցումից ստացվող եկամուտների գումարը կազմել է 98,500 հազար ՀՀ դրամի 2%</t>
  </si>
  <si>
    <t>2021թ․–ի շահութահարկի գումարը</t>
  </si>
  <si>
    <t>Բժշկական հաստատությանը տրամադրված շինանյութի ինքնարժեք</t>
  </si>
  <si>
    <t>Հ2․0</t>
  </si>
  <si>
    <t>Հ2․1</t>
  </si>
  <si>
    <t>Բժշկական հաստատության տրված շինանյութի սահմանաչափ 371,650*0․25%</t>
  </si>
  <si>
    <t>Հարկային և հաշվապահական բազաների տարբերություն 313,000-1030-308,000</t>
  </si>
  <si>
    <t>Բժշկական հաստատության տրված շինանյութի սահմանաչափից չնվազեցվող ծախս 1,030-929</t>
  </si>
  <si>
    <t>Բժշկական հաստատության տրված շինանյութի հարկային բազա</t>
  </si>
  <si>
    <t xml:space="preserve">Սննդի կազմակերպման ծախսերից միակողմանի գնման ակտեր պակասեցում 930-230, ինչը նվազեցվում, քանի որ սահմանաչափից փոքր է </t>
  </si>
  <si>
    <t xml:space="preserve">Աշխատակիցների կոլեկտիվ հանգստի կազմակերպման ծախսերից չնվազեցվող 1360–229 </t>
  </si>
  <si>
    <t>Հ6-ով սահմնաչափից մնացել էր նվազեցնելու մաս 929-700</t>
  </si>
  <si>
    <t>Անհատույց և իրական արժեքից էականորեն ցածր արժեքով վաճառված շինանյութերի համար վճարված լրացուցիչ ԱԱՀ-ի գումար</t>
  </si>
  <si>
    <t>Բարեգործական հիմնադրամին անհատույց տրամադրված մարդատար մեքենայի հաշվեկշռային արժեք</t>
  </si>
  <si>
    <t>Հ11</t>
  </si>
  <si>
    <t>Հ2․1-ով սահմնաչափից լրիվությամբ օգտագործվել է</t>
  </si>
  <si>
    <t>Հարկային հաշվեկշռային արժեքը չի նվազեցվում</t>
  </si>
  <si>
    <t>Պետական բյուջե վճարման ենթակա շահութահարկ (վերադարձվող գումար)</t>
  </si>
  <si>
    <t>Եթե որևէ հաշվետու ժամանակաշրջանում հարկային գործակալի կողմից ոչ ռեզիդենտին եկամուտներ չեն վճարվել կամ վճարվել են բացառապես Օրենսգրքի իմաստով՝ եկամուտ չհամարվող տարրեր (արտաքին տնտեսական գործունեությունից (ԱՏԳ-ից) ստացվող եկամուտներ կամ եկամուտ չհամարվող այլ տարրեր)</t>
  </si>
  <si>
    <t>«Յուպիտեր» ՓԲԸ</t>
  </si>
  <si>
    <t>շինանյութի իրական արժեքից ցածր վաճառվածի ԱԱՀ</t>
  </si>
  <si>
    <t>հողամասի ԱԱՀ-ով հարկման բազան 3500*0.8</t>
  </si>
  <si>
    <t>Խնդիր</t>
  </si>
  <si>
    <t>կետ</t>
  </si>
  <si>
    <t>ԱԱՀ</t>
  </si>
  <si>
    <t>տող</t>
  </si>
  <si>
    <t>7Ա</t>
  </si>
  <si>
    <t>7Բ</t>
  </si>
  <si>
    <t>9Ա</t>
  </si>
  <si>
    <t>9Բ</t>
  </si>
  <si>
    <t>10Բ</t>
  </si>
  <si>
    <t>20․1Բ</t>
  </si>
  <si>
    <t>Լուծարված ամբարձչի ԱԱՀ պակասեցում 550*0.2</t>
  </si>
  <si>
    <t>17Ա</t>
  </si>
  <si>
    <t>շինանյութի իրական արժեքի 80% 9000/1.2*0.8</t>
  </si>
  <si>
    <t>շինանյութի իրական արժեքից ցածր վաճառվածի համար լրացուցիչ ԱԱՀ 6000*0.2-6300/6</t>
  </si>
  <si>
    <t>շինանյութի իրական արժեքից ցածր վաճառված մաս (6300-2400)/6300</t>
  </si>
  <si>
    <t>հողամասի վաճառքից լրացուցիչ ԱԱՀ (2800-2300)*0.2</t>
  </si>
  <si>
    <t>Մաքսային արժեք (25000+1800-200)*480*1.05/1000</t>
  </si>
  <si>
    <t>Ներմուծման ԱԱՀ 13406*0.2</t>
  </si>
  <si>
    <t>17Բ</t>
  </si>
  <si>
    <t>20․2Բ</t>
  </si>
  <si>
    <t>Նախորդ ամսում ներմուծման ԱԱՀ-ի հաշվետու ամսում վճարում</t>
  </si>
  <si>
    <t>ՀՀ տարածքում հարկային հաշիվներով ձեռք բերումներ (7170-2151)/1.2</t>
  </si>
  <si>
    <t>18Ա</t>
  </si>
  <si>
    <t>18Բ</t>
  </si>
  <si>
    <t>ՀՀ տարածքում հարկային հաշիվներով ձեռք բերումների ԱԱՀ 4183*0.2</t>
  </si>
  <si>
    <t>ՀՀ տարածքում ՀԴՄ գնում, որի ԱԱՀ-ն չի հաշվանցվում</t>
  </si>
  <si>
    <t>Ֆրանչայզինգի ինքնահաշիվ առանց ԱԱՀ 1700*482/1000</t>
  </si>
  <si>
    <t>Ֆրանչայզինգի ինքնահաշվի ԱԱՀ 819*.2</t>
  </si>
  <si>
    <t>Ֆրանչայզինգի ինքնահաշվի ԱԱՀ 819*0.2</t>
  </si>
  <si>
    <t>Բարեգործական կազմակերպությանը ազատվածով իրացման ԱԱՀ պակասեցում 2681*0.3</t>
  </si>
  <si>
    <t>ՀԴՄ իրացումը առանց հաշիվների18464-3,420</t>
  </si>
  <si>
    <t>ՀԴՄ իրացման ԱԱՀ15044*16.67%</t>
  </si>
  <si>
    <t>20․4Բ</t>
  </si>
  <si>
    <t>Վարձակալված գրասենյակի կապիտալ ծախսերի ԱԱՀ պակասեցում 805*0.4*0.2</t>
  </si>
  <si>
    <t>Հաշիվ-վավերագրեր</t>
  </si>
  <si>
    <t>Տնօրենի համար վճարված վարձավճար</t>
  </si>
  <si>
    <t>Հարկային հաշվով վաճառքներ69750+420+3420*0.8333+2300 +2560/1.2+1800/1.2</t>
  </si>
  <si>
    <t>Հարկային հաշվով իրացման ԱԱՀ 78953*20%</t>
  </si>
  <si>
    <t>20․5Ա</t>
  </si>
  <si>
    <t>Մարդատար մեքենայի իրացումից ԱԱՀ ավելացում 870/6</t>
  </si>
  <si>
    <t>Ոչ ռեզիդենտ կազմակերպությունից ստացված հաշիվը չի ներառվում ԱԱՀ հաշվարկում</t>
  </si>
  <si>
    <t>13.1Ա</t>
  </si>
  <si>
    <t>գիտահետազոտական աշխատանքները ազատված են ԱԱՀ-ից</t>
  </si>
  <si>
    <t>1․7</t>
  </si>
  <si>
    <t>1․4</t>
  </si>
  <si>
    <t>1․3</t>
  </si>
  <si>
    <t>1․2</t>
  </si>
  <si>
    <t>20․3Ա</t>
  </si>
  <si>
    <t>Պետրոսյան Կարեն</t>
  </si>
  <si>
    <t>Ավետյան Վահե</t>
  </si>
  <si>
    <t>Հովհաննիսյան Արա</t>
  </si>
  <si>
    <t>Ներսիսյան Կամո</t>
  </si>
  <si>
    <t>Վճարող է</t>
  </si>
  <si>
    <t>Վճարող չէ</t>
  </si>
  <si>
    <t>Հաշվապահ</t>
  </si>
  <si>
    <t>Իրացման մենեջեր</t>
  </si>
  <si>
    <t>Իրացման մասնագետ</t>
  </si>
  <si>
    <t>Զուտ աշխատավարձ</t>
  </si>
  <si>
    <t>Պայմանագրային աշխատավարձ</t>
  </si>
  <si>
    <t>Վահան Ավետիսյան</t>
  </si>
  <si>
    <t>Ներսես Միկոյան</t>
  </si>
  <si>
    <t>Արհմիության վճար</t>
  </si>
  <si>
    <t>Փոխառության տոկոս</t>
  </si>
  <si>
    <t>սննդի կազմակերպում, կոլեկտիվ հանգստի գծով տրված եկամուտ</t>
  </si>
  <si>
    <t>2022թ․ հարկվող եկամտի 0.25%-ը չգերազանցող մասը</t>
  </si>
  <si>
    <t>2022թ․ հարկվող եկամտի 0.25%-ից ավել մասը, կհարկվի 2023թ․-ի ապրիլ ամսին</t>
  </si>
  <si>
    <t>Միակողմանի գնման ակտ</t>
  </si>
  <si>
    <t>Երկկողմանի գնման ակտ</t>
  </si>
  <si>
    <t>X-(X*21%)-8500=500000</t>
  </si>
  <si>
    <t>Բեռների փոխադրման տրանսպորտային ծառայություն ԱՄՆ-ից մինչև ռեզիդենտ կազմակերպության ՀՀ-ում գտնվող պահեստ</t>
  </si>
  <si>
    <t>107-րդ հոդվածի 2-րդ մասի 2-րդ կետ
125-րդ հոդվածի 4-րդ մաս 2-րդ կետ</t>
  </si>
  <si>
    <t>107-րդ հոդվածի 6-րդ մաս</t>
  </si>
  <si>
    <t>107-րդ հոդվածի 3-րդ մասի 2-րդ կետ
125-րդ հոդվածի 4-րդ մաս 2-րդ կետ
132-րդ հոդվածի 2-րդ մասի 2-րդ կետ</t>
  </si>
  <si>
    <t>125-րդ հոդվածի 4-րդ մաս 5-րդ կետ
132-րդ հոդվածի 2-րդ մասի 6-րդ կետ</t>
  </si>
  <si>
    <t>107-րդ հոդվածի 4-րդ մաս
125-րդ հոդվածի 4-րդ մաս 5-րդ կետ</t>
  </si>
  <si>
    <t>Թարգմանչական ծառայություն</t>
  </si>
  <si>
    <t>Ռեզիդենտ կազմակերպության աշխատակիցների համար ճամփորդության կազմակերպում արտերկրում</t>
  </si>
  <si>
    <t>Պարտքի ներում</t>
  </si>
  <si>
    <t>Մարկետինգային ծառայություն ֆիզիկական անձին</t>
  </si>
  <si>
    <t>107-րդ հոդվածի 2-րդ մասի 2-րդ կետ 
125-րդ հոդվածի 4-րդ մաս 5-րդ կետ</t>
  </si>
  <si>
    <t>Ստացված կանխավճարից վերադարձից պահված հարկի ուղղում</t>
  </si>
  <si>
    <t>ՀՀ-ում կազմակերպված դասընթաց ոչ ռեզիդենտ կազմակերպությանը</t>
  </si>
  <si>
    <t>Փոխառության և տոկոսային պարտքի հաշվանց Ընկերության դեբիտորական պարտքի հետ։</t>
  </si>
  <si>
    <t>Լրացուցիչ հարց</t>
  </si>
  <si>
    <t>Հաշվարկի ներկայացման հաշվետու ժամանակաշրջանը տարին է</t>
  </si>
  <si>
    <t>Հաշվետու ժամանակաշրջանին հաջորդող հարկային տարվա ապրիլի 20-ը</t>
  </si>
  <si>
    <t>Երևան քաղաքի Կենտրոն վարչական շրջանն սպասարկող ստորաբաժին</t>
  </si>
  <si>
    <r>
      <t>2</t>
    </r>
    <r>
      <rPr>
        <vertAlign val="superscript"/>
        <sz val="8"/>
        <color theme="1"/>
        <rFont val="Sylfaen"/>
        <family val="1"/>
      </rPr>
      <t>*1</t>
    </r>
  </si>
  <si>
    <r>
      <t>3</t>
    </r>
    <r>
      <rPr>
        <vertAlign val="superscript"/>
        <sz val="8"/>
        <color theme="1"/>
        <rFont val="Sylfaen"/>
        <family val="1"/>
      </rPr>
      <t>*2</t>
    </r>
  </si>
  <si>
    <r>
      <t>4</t>
    </r>
    <r>
      <rPr>
        <vertAlign val="superscript"/>
        <sz val="8"/>
        <color theme="1"/>
        <rFont val="Sylfaen"/>
        <family val="1"/>
      </rPr>
      <t>*3</t>
    </r>
  </si>
  <si>
    <r>
      <t>1</t>
    </r>
    <r>
      <rPr>
        <vertAlign val="superscript"/>
        <sz val="8"/>
        <color theme="1"/>
        <rFont val="Sylfaen"/>
        <family val="1"/>
      </rPr>
      <t>*4</t>
    </r>
  </si>
  <si>
    <r>
      <t>2</t>
    </r>
    <r>
      <rPr>
        <vertAlign val="superscript"/>
        <sz val="8"/>
        <color theme="1"/>
        <rFont val="Sylfaen"/>
        <family val="1"/>
      </rPr>
      <t>*4</t>
    </r>
  </si>
  <si>
    <r>
      <t>5</t>
    </r>
    <r>
      <rPr>
        <vertAlign val="superscript"/>
        <sz val="8"/>
        <color theme="1"/>
        <rFont val="Sylfaen"/>
        <family val="1"/>
      </rPr>
      <t>*5</t>
    </r>
  </si>
  <si>
    <r>
      <t>6</t>
    </r>
    <r>
      <rPr>
        <vertAlign val="superscript"/>
        <sz val="8"/>
        <color theme="1"/>
        <rFont val="Sylfaen"/>
        <family val="1"/>
      </rPr>
      <t>*6</t>
    </r>
  </si>
  <si>
    <r>
      <t>7</t>
    </r>
    <r>
      <rPr>
        <vertAlign val="superscript"/>
        <sz val="8"/>
        <color theme="1"/>
        <rFont val="Sylfaen"/>
        <family val="1"/>
      </rPr>
      <t>*7</t>
    </r>
  </si>
  <si>
    <r>
      <t>8</t>
    </r>
    <r>
      <rPr>
        <vertAlign val="superscript"/>
        <sz val="8"/>
        <color theme="1"/>
        <rFont val="Sylfaen"/>
        <family val="1"/>
      </rPr>
      <t>*13</t>
    </r>
  </si>
  <si>
    <r>
      <t>10</t>
    </r>
    <r>
      <rPr>
        <vertAlign val="superscript"/>
        <sz val="8"/>
        <color theme="1"/>
        <rFont val="Sylfaen"/>
        <family val="1"/>
      </rPr>
      <t>*2,8</t>
    </r>
  </si>
  <si>
    <r>
      <t>12</t>
    </r>
    <r>
      <rPr>
        <vertAlign val="superscript"/>
        <sz val="8"/>
        <color theme="1"/>
        <rFont val="Sylfaen"/>
        <family val="1"/>
      </rPr>
      <t>*9</t>
    </r>
  </si>
  <si>
    <r>
      <t>13</t>
    </r>
    <r>
      <rPr>
        <vertAlign val="superscript"/>
        <sz val="8"/>
        <color theme="1"/>
        <rFont val="Sylfaen"/>
        <family val="1"/>
      </rPr>
      <t>*10</t>
    </r>
  </si>
  <si>
    <r>
      <t>14</t>
    </r>
    <r>
      <rPr>
        <vertAlign val="superscript"/>
        <sz val="8"/>
        <color theme="1"/>
        <rFont val="Sylfaen"/>
        <family val="1"/>
      </rPr>
      <t>*11</t>
    </r>
  </si>
  <si>
    <r>
      <t>15</t>
    </r>
    <r>
      <rPr>
        <vertAlign val="superscript"/>
        <sz val="8"/>
        <color theme="1"/>
        <rFont val="Sylfaen"/>
        <family val="1"/>
      </rPr>
      <t>*3</t>
    </r>
  </si>
  <si>
    <r>
      <t>16</t>
    </r>
    <r>
      <rPr>
        <vertAlign val="superscript"/>
        <sz val="8"/>
        <color theme="1"/>
        <rFont val="Sylfaen"/>
        <family val="1"/>
      </rPr>
      <t>*12</t>
    </r>
  </si>
  <si>
    <r>
      <t>18</t>
    </r>
    <r>
      <rPr>
        <vertAlign val="superscript"/>
        <sz val="8"/>
        <color theme="1"/>
        <rFont val="Sylfaen"/>
        <family val="1"/>
      </rPr>
      <t>*14</t>
    </r>
  </si>
  <si>
    <t>X-(X*21%)-(X*10%-27500)-8500=420000</t>
  </si>
  <si>
    <t>107-րդ հոդվածի 2-րդ մաս
125-րդ հոդվածի 4-րդ մաս 5-րդ կետ</t>
  </si>
  <si>
    <t>2022թ․ 1–ին եռամսյակի շահութահարկի կանխավճար min(1,970 2,000)</t>
  </si>
  <si>
    <t>Փոխառության տոկոսային ծախսի չնվազեցվող մաս 4,600/25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</si>
</sst>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name val="Sylfaen"/>
      <family val="1"/>
      <charset val="204"/>
    </font>
    <font>
      <sz val="10"/>
      <color theme="1"/>
      <name val="Sylfaen"/>
      <family val="1"/>
    </font>
    <font>
      <sz val="10"/>
      <name val="Arial"/>
      <family val="2"/>
      <charset val="204"/>
    </font>
    <font>
      <b/>
      <sz val="12"/>
      <name val="Times Armenian"/>
      <family val="1"/>
    </font>
    <font>
      <sz val="12"/>
      <name val="Sylfaen"/>
      <family val="1"/>
      <charset val="204"/>
    </font>
    <font>
      <sz val="12"/>
      <name val="Times Armenian"/>
      <family val="1"/>
      <charset val="204"/>
    </font>
    <font>
      <sz val="11"/>
      <color indexed="8"/>
      <name val="Calibri"/>
      <family val="2"/>
    </font>
    <font>
      <b/>
      <u/>
      <sz val="12"/>
      <name val="Arial Unicode"/>
      <family val="2"/>
      <charset val="204"/>
    </font>
    <font>
      <b/>
      <u/>
      <sz val="12"/>
      <name val="Times Armenian"/>
      <family val="1"/>
    </font>
    <font>
      <b/>
      <sz val="10"/>
      <name val="Times Armenian"/>
      <family val="1"/>
    </font>
    <font>
      <b/>
      <sz val="11"/>
      <name val="Times Armenian"/>
      <family val="1"/>
      <charset val="204"/>
    </font>
    <font>
      <sz val="11"/>
      <name val="Times Armeni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9"/>
      <color theme="1"/>
      <name val="Sylfaen"/>
      <family val="1"/>
    </font>
    <font>
      <sz val="10.5"/>
      <color theme="1"/>
      <name val="Arial Unicode"/>
      <family val="2"/>
      <charset val="204"/>
    </font>
    <font>
      <b/>
      <sz val="12"/>
      <name val="Sylfaen"/>
      <family val="1"/>
    </font>
    <font>
      <sz val="12"/>
      <name val="Sylfaen"/>
      <family val="1"/>
    </font>
    <font>
      <b/>
      <sz val="11"/>
      <name val="Arial Armenian"/>
      <family val="2"/>
    </font>
    <font>
      <sz val="8"/>
      <name val="Calibri"/>
      <family val="2"/>
      <scheme val="minor"/>
    </font>
    <font>
      <sz val="10"/>
      <name val="Sylfae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GHEA Grapalat"/>
      <family val="3"/>
    </font>
    <font>
      <sz val="11"/>
      <color theme="1"/>
      <name val="GHEA Grapalat"/>
      <family val="3"/>
    </font>
    <font>
      <sz val="11"/>
      <color rgb="FFFF0000"/>
      <name val="GHEA Grapalat"/>
      <family val="3"/>
    </font>
    <font>
      <b/>
      <i/>
      <sz val="11"/>
      <color rgb="FFFF0000"/>
      <name val="GHEA Grapalat"/>
      <family val="3"/>
    </font>
    <font>
      <b/>
      <i/>
      <sz val="11"/>
      <name val="GHEA Grapalat"/>
      <family val="3"/>
    </font>
    <font>
      <sz val="8"/>
      <color theme="1"/>
      <name val="Sylfaen"/>
      <family val="1"/>
    </font>
    <font>
      <b/>
      <sz val="8"/>
      <color theme="1"/>
      <name val="Sylfaen"/>
      <family val="1"/>
    </font>
    <font>
      <sz val="8"/>
      <color rgb="FF0070C0"/>
      <name val="Sylfaen"/>
      <family val="1"/>
    </font>
    <font>
      <sz val="8"/>
      <name val="Sylfaen"/>
      <family val="1"/>
    </font>
    <font>
      <sz val="8"/>
      <color rgb="FFFF0000"/>
      <name val="Sylfaen"/>
      <family val="1"/>
    </font>
    <font>
      <sz val="11"/>
      <name val="GHEA Grapalat"/>
      <family val="3"/>
    </font>
    <font>
      <b/>
      <sz val="8"/>
      <color indexed="8"/>
      <name val="Sylfaen"/>
      <family val="1"/>
      <charset val="204"/>
    </font>
    <font>
      <b/>
      <sz val="8"/>
      <name val="Sylfaen"/>
      <family val="1"/>
      <charset val="204"/>
    </font>
    <font>
      <sz val="8"/>
      <color theme="1"/>
      <name val="Sylfaen"/>
      <family val="1"/>
      <charset val="204"/>
    </font>
    <font>
      <vertAlign val="superscript"/>
      <sz val="8"/>
      <color theme="1"/>
      <name val="Sylfaen"/>
      <family val="1"/>
    </font>
    <font>
      <b/>
      <sz val="8"/>
      <color theme="1"/>
      <name val="Sylfaen"/>
      <family val="1"/>
      <charset val="204"/>
    </font>
    <font>
      <sz val="8"/>
      <color rgb="FF000000"/>
      <name val="Sylfaen"/>
      <family val="1"/>
    </font>
    <font>
      <sz val="8"/>
      <color theme="1"/>
      <name val="Calibri"/>
      <family val="2"/>
      <scheme val="minor"/>
    </font>
    <font>
      <sz val="8"/>
      <name val="Sylfaen"/>
      <family val="1"/>
      <charset val="204"/>
    </font>
    <font>
      <sz val="8"/>
      <name val="Times Armeni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43" fontId="12" fillId="0" borderId="0" applyFont="0" applyFill="0" applyBorder="0" applyAlignment="0" applyProtection="0"/>
    <xf numFmtId="0" fontId="18" fillId="0" borderId="0"/>
  </cellStyleXfs>
  <cellXfs count="253">
    <xf numFmtId="0" fontId="0" fillId="0" borderId="0" xfId="0"/>
    <xf numFmtId="0" fontId="9" fillId="0" borderId="0" xfId="3" applyFont="1"/>
    <xf numFmtId="0" fontId="9" fillId="0" borderId="0" xfId="3" applyFont="1" applyAlignment="1">
      <alignment horizontal="right"/>
    </xf>
    <xf numFmtId="0" fontId="10" fillId="0" borderId="0" xfId="3" applyFont="1"/>
    <xf numFmtId="0" fontId="11" fillId="0" borderId="0" xfId="3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horizontal="right"/>
    </xf>
    <xf numFmtId="0" fontId="5" fillId="0" borderId="0" xfId="2" applyFont="1"/>
    <xf numFmtId="0" fontId="5" fillId="0" borderId="0" xfId="2" applyFont="1" applyAlignment="1">
      <alignment horizontal="center"/>
    </xf>
    <xf numFmtId="164" fontId="6" fillId="0" borderId="0" xfId="4" applyNumberFormat="1" applyFont="1" applyFill="1" applyAlignment="1">
      <alignment horizontal="center"/>
    </xf>
    <xf numFmtId="0" fontId="15" fillId="0" borderId="0" xfId="2" applyFont="1"/>
    <xf numFmtId="0" fontId="7" fillId="0" borderId="1" xfId="0" applyFont="1" applyBorder="1" applyAlignment="1">
      <alignment horizontal="right" vertical="center" wrapText="1"/>
    </xf>
    <xf numFmtId="0" fontId="11" fillId="0" borderId="0" xfId="3" applyFont="1" applyAlignment="1">
      <alignment horizontal="center"/>
    </xf>
    <xf numFmtId="0" fontId="11" fillId="0" borderId="5" xfId="3" applyFont="1" applyBorder="1" applyAlignment="1">
      <alignment wrapText="1"/>
    </xf>
    <xf numFmtId="0" fontId="22" fillId="0" borderId="6" xfId="0" applyFont="1" applyBorder="1"/>
    <xf numFmtId="0" fontId="11" fillId="0" borderId="7" xfId="3" applyFont="1" applyBorder="1" applyAlignment="1">
      <alignment wrapText="1"/>
    </xf>
    <xf numFmtId="0" fontId="23" fillId="0" borderId="0" xfId="3" applyFont="1"/>
    <xf numFmtId="0" fontId="23" fillId="0" borderId="0" xfId="3" applyFont="1" applyAlignment="1">
      <alignment horizontal="right"/>
    </xf>
    <xf numFmtId="0" fontId="24" fillId="6" borderId="0" xfId="3" applyFont="1" applyFill="1"/>
    <xf numFmtId="0" fontId="19" fillId="0" borderId="0" xfId="3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4" fillId="0" borderId="0" xfId="3" applyNumberFormat="1" applyFont="1" applyBorder="1" applyAlignment="1">
      <alignment vertical="distributed" wrapText="1"/>
    </xf>
    <xf numFmtId="0" fontId="4" fillId="0" borderId="0" xfId="3" applyFont="1" applyBorder="1" applyAlignment="1">
      <alignment vertical="distributed" wrapText="1"/>
    </xf>
    <xf numFmtId="0" fontId="6" fillId="0" borderId="0" xfId="3" applyFont="1" applyBorder="1" applyAlignment="1">
      <alignment vertical="distributed" wrapText="1"/>
    </xf>
    <xf numFmtId="3" fontId="6" fillId="0" borderId="0" xfId="3" applyNumberFormat="1" applyFont="1" applyBorder="1" applyAlignment="1">
      <alignment horizontal="left" vertical="distributed" wrapText="1"/>
    </xf>
    <xf numFmtId="0" fontId="6" fillId="0" borderId="0" xfId="3" applyFont="1" applyBorder="1" applyAlignment="1">
      <alignment vertical="center" wrapText="1"/>
    </xf>
    <xf numFmtId="0" fontId="10" fillId="0" borderId="0" xfId="3" applyFont="1" applyAlignment="1">
      <alignment horizontal="left"/>
    </xf>
    <xf numFmtId="0" fontId="6" fillId="0" borderId="0" xfId="3" applyFont="1" applyBorder="1" applyAlignment="1">
      <alignment horizontal="center" vertical="distributed" wrapText="1"/>
    </xf>
    <xf numFmtId="0" fontId="29" fillId="0" borderId="0" xfId="0" applyFont="1"/>
    <xf numFmtId="0" fontId="28" fillId="0" borderId="0" xfId="0" applyFont="1" applyAlignment="1">
      <alignment horizontal="center" vertical="center"/>
    </xf>
    <xf numFmtId="0" fontId="29" fillId="0" borderId="0" xfId="0" applyFont="1" applyFill="1"/>
    <xf numFmtId="0" fontId="31" fillId="0" borderId="0" xfId="0" applyFont="1"/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justify" vertical="center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/>
    <xf numFmtId="0" fontId="33" fillId="0" borderId="1" xfId="0" applyFont="1" applyBorder="1"/>
    <xf numFmtId="43" fontId="31" fillId="0" borderId="0" xfId="0" applyNumberFormat="1" applyFont="1"/>
    <xf numFmtId="43" fontId="31" fillId="0" borderId="0" xfId="0" applyNumberFormat="1" applyFont="1" applyAlignment="1">
      <alignment horizontal="left"/>
    </xf>
    <xf numFmtId="165" fontId="31" fillId="0" borderId="1" xfId="1" applyNumberFormat="1" applyFont="1" applyBorder="1"/>
    <xf numFmtId="0" fontId="34" fillId="0" borderId="1" xfId="0" applyFont="1" applyBorder="1" applyAlignment="1">
      <alignment horizontal="justify" vertical="center"/>
    </xf>
    <xf numFmtId="0" fontId="31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165" fontId="31" fillId="7" borderId="1" xfId="1" applyNumberFormat="1" applyFont="1" applyFill="1" applyBorder="1"/>
    <xf numFmtId="0" fontId="31" fillId="7" borderId="0" xfId="0" applyFont="1" applyFill="1"/>
    <xf numFmtId="3" fontId="4" fillId="0" borderId="0" xfId="3" applyNumberFormat="1" applyFont="1" applyFill="1" applyBorder="1" applyAlignment="1">
      <alignment vertical="distributed" wrapText="1"/>
    </xf>
    <xf numFmtId="0" fontId="31" fillId="7" borderId="1" xfId="0" applyFont="1" applyFill="1" applyBorder="1"/>
    <xf numFmtId="0" fontId="11" fillId="0" borderId="0" xfId="3" applyFont="1" applyFill="1"/>
    <xf numFmtId="0" fontId="4" fillId="0" borderId="0" xfId="3" applyFont="1" applyFill="1" applyBorder="1" applyAlignment="1">
      <alignment vertical="distributed" wrapText="1"/>
    </xf>
    <xf numFmtId="0" fontId="29" fillId="0" borderId="0" xfId="0" applyFont="1"/>
    <xf numFmtId="0" fontId="28" fillId="0" borderId="1" xfId="0" applyFont="1" applyFill="1" applyBorder="1" applyAlignment="1">
      <alignment horizontal="center" vertical="center"/>
    </xf>
    <xf numFmtId="0" fontId="15" fillId="0" borderId="0" xfId="3" applyFont="1"/>
    <xf numFmtId="166" fontId="4" fillId="0" borderId="0" xfId="3" applyNumberFormat="1" applyFont="1" applyFill="1" applyBorder="1" applyAlignment="1">
      <alignment vertical="distributed" wrapText="1"/>
    </xf>
    <xf numFmtId="165" fontId="11" fillId="0" borderId="0" xfId="1" applyNumberFormat="1" applyFont="1" applyFill="1"/>
    <xf numFmtId="165" fontId="9" fillId="0" borderId="0" xfId="1" applyNumberFormat="1" applyFont="1" applyFill="1"/>
    <xf numFmtId="165" fontId="11" fillId="0" borderId="0" xfId="3" applyNumberFormat="1" applyFont="1" applyFill="1"/>
    <xf numFmtId="165" fontId="4" fillId="0" borderId="0" xfId="1" applyNumberFormat="1" applyFont="1" applyFill="1" applyBorder="1" applyAlignment="1">
      <alignment vertical="distributed" wrapText="1"/>
    </xf>
    <xf numFmtId="0" fontId="35" fillId="0" borderId="0" xfId="0" applyFont="1"/>
    <xf numFmtId="0" fontId="3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justify" vertical="center" wrapText="1"/>
    </xf>
    <xf numFmtId="0" fontId="36" fillId="0" borderId="0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/>
    <xf numFmtId="0" fontId="36" fillId="0" borderId="1" xfId="0" applyFont="1" applyBorder="1" applyAlignment="1">
      <alignment horizontal="left" wrapText="1"/>
    </xf>
    <xf numFmtId="165" fontId="37" fillId="0" borderId="1" xfId="1" applyNumberFormat="1" applyFont="1" applyBorder="1" applyAlignment="1">
      <alignment horizontal="justify" vertical="center" wrapText="1"/>
    </xf>
    <xf numFmtId="165" fontId="38" fillId="0" borderId="1" xfId="1" applyNumberFormat="1" applyFont="1" applyBorder="1" applyAlignment="1">
      <alignment horizontal="justify" vertical="center" wrapText="1"/>
    </xf>
    <xf numFmtId="165" fontId="35" fillId="0" borderId="0" xfId="0" applyNumberFormat="1" applyFont="1"/>
    <xf numFmtId="9" fontId="35" fillId="0" borderId="1" xfId="0" applyNumberFormat="1" applyFont="1" applyBorder="1" applyAlignment="1">
      <alignment horizontal="left"/>
    </xf>
    <xf numFmtId="37" fontId="35" fillId="0" borderId="1" xfId="0" applyNumberFormat="1" applyFont="1" applyBorder="1" applyAlignment="1"/>
    <xf numFmtId="37" fontId="35" fillId="0" borderId="1" xfId="0" applyNumberFormat="1" applyFont="1" applyBorder="1" applyAlignment="1">
      <alignment horizontal="right" vertical="center" wrapText="1"/>
    </xf>
    <xf numFmtId="3" fontId="35" fillId="0" borderId="10" xfId="0" applyNumberFormat="1" applyFont="1" applyBorder="1"/>
    <xf numFmtId="0" fontId="38" fillId="0" borderId="1" xfId="0" applyFont="1" applyBorder="1" applyAlignment="1">
      <alignment vertical="center" wrapText="1"/>
    </xf>
    <xf numFmtId="37" fontId="35" fillId="0" borderId="1" xfId="0" applyNumberFormat="1" applyFont="1" applyFill="1" applyBorder="1"/>
    <xf numFmtId="37" fontId="35" fillId="0" borderId="1" xfId="0" applyNumberFormat="1" applyFont="1" applyFill="1" applyBorder="1" applyAlignment="1">
      <alignment vertical="center" wrapText="1"/>
    </xf>
    <xf numFmtId="0" fontId="35" fillId="0" borderId="0" xfId="0" applyFont="1" applyFill="1"/>
    <xf numFmtId="37" fontId="35" fillId="0" borderId="1" xfId="0" applyNumberFormat="1" applyFont="1" applyFill="1" applyBorder="1" applyAlignment="1"/>
    <xf numFmtId="0" fontId="35" fillId="0" borderId="0" xfId="0" applyFont="1" applyAlignment="1">
      <alignment horizontal="left"/>
    </xf>
    <xf numFmtId="37" fontId="38" fillId="0" borderId="1" xfId="1" applyNumberFormat="1" applyFont="1" applyBorder="1" applyAlignment="1">
      <alignment horizontal="right" vertical="center" wrapText="1"/>
    </xf>
    <xf numFmtId="9" fontId="38" fillId="0" borderId="1" xfId="0" applyNumberFormat="1" applyFont="1" applyBorder="1" applyAlignment="1">
      <alignment horizontal="left"/>
    </xf>
    <xf numFmtId="165" fontId="38" fillId="0" borderId="1" xfId="1" applyNumberFormat="1" applyFont="1" applyBorder="1" applyAlignment="1">
      <alignment horizontal="left" vertical="center" wrapText="1"/>
    </xf>
    <xf numFmtId="9" fontId="39" fillId="0" borderId="1" xfId="0" applyNumberFormat="1" applyFont="1" applyBorder="1" applyAlignment="1">
      <alignment horizontal="left" wrapText="1"/>
    </xf>
    <xf numFmtId="37" fontId="35" fillId="0" borderId="1" xfId="0" applyNumberFormat="1" applyFont="1" applyBorder="1"/>
    <xf numFmtId="37" fontId="39" fillId="0" borderId="1" xfId="0" applyNumberFormat="1" applyFont="1" applyBorder="1"/>
    <xf numFmtId="165" fontId="35" fillId="0" borderId="0" xfId="0" applyNumberFormat="1" applyFont="1" applyFill="1"/>
    <xf numFmtId="37" fontId="38" fillId="0" borderId="1" xfId="0" applyNumberFormat="1" applyFont="1" applyFill="1" applyBorder="1" applyAlignment="1"/>
    <xf numFmtId="37" fontId="39" fillId="0" borderId="1" xfId="0" applyNumberFormat="1" applyFont="1" applyFill="1" applyBorder="1" applyAlignment="1"/>
    <xf numFmtId="0" fontId="35" fillId="0" borderId="9" xfId="0" applyFont="1" applyBorder="1" applyAlignment="1">
      <alignment horizontal="center" vertical="center"/>
    </xf>
    <xf numFmtId="0" fontId="36" fillId="0" borderId="9" xfId="0" applyFont="1" applyBorder="1"/>
    <xf numFmtId="165" fontId="35" fillId="0" borderId="9" xfId="1" applyNumberFormat="1" applyFont="1" applyBorder="1"/>
    <xf numFmtId="165" fontId="36" fillId="0" borderId="9" xfId="1" applyNumberFormat="1" applyFont="1" applyBorder="1"/>
    <xf numFmtId="0" fontId="36" fillId="0" borderId="1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165" fontId="36" fillId="0" borderId="1" xfId="1" applyNumberFormat="1" applyFont="1" applyBorder="1" applyAlignment="1">
      <alignment horizontal="center" wrapText="1"/>
    </xf>
    <xf numFmtId="0" fontId="36" fillId="0" borderId="2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5" fillId="0" borderId="1" xfId="0" applyFont="1" applyBorder="1" applyAlignment="1">
      <alignment horizontal="justify" vertical="center" wrapText="1"/>
    </xf>
    <xf numFmtId="0" fontId="35" fillId="0" borderId="3" xfId="0" applyFont="1" applyBorder="1" applyAlignment="1">
      <alignment vertical="center" wrapText="1"/>
    </xf>
    <xf numFmtId="0" fontId="35" fillId="0" borderId="1" xfId="0" applyFont="1" applyFill="1" applyBorder="1" applyAlignment="1">
      <alignment horizontal="justify" vertical="center" wrapText="1"/>
    </xf>
    <xf numFmtId="165" fontId="35" fillId="0" borderId="1" xfId="0" applyNumberFormat="1" applyFont="1" applyFill="1" applyBorder="1"/>
    <xf numFmtId="165" fontId="36" fillId="0" borderId="0" xfId="0" applyNumberFormat="1" applyFont="1" applyFill="1"/>
    <xf numFmtId="43" fontId="35" fillId="0" borderId="0" xfId="1" applyFont="1" applyFill="1"/>
    <xf numFmtId="9" fontId="35" fillId="0" borderId="1" xfId="0" applyNumberFormat="1" applyFont="1" applyBorder="1" applyAlignment="1">
      <alignment horizontal="right"/>
    </xf>
    <xf numFmtId="165" fontId="35" fillId="0" borderId="1" xfId="1" applyNumberFormat="1" applyFont="1" applyBorder="1" applyAlignment="1">
      <alignment horizontal="justify" vertical="center" wrapText="1"/>
    </xf>
    <xf numFmtId="0" fontId="36" fillId="0" borderId="0" xfId="0" applyFont="1" applyBorder="1" applyAlignment="1">
      <alignment horizontal="left" vertical="center" wrapText="1"/>
    </xf>
    <xf numFmtId="3" fontId="35" fillId="0" borderId="0" xfId="0" applyNumberFormat="1" applyFont="1" applyBorder="1"/>
    <xf numFmtId="165" fontId="39" fillId="0" borderId="0" xfId="1" applyNumberFormat="1" applyFont="1" applyBorder="1" applyAlignment="1">
      <alignment horizontal="justify" vertical="center" wrapText="1"/>
    </xf>
    <xf numFmtId="37" fontId="35" fillId="0" borderId="1" xfId="0" applyNumberFormat="1" applyFont="1" applyFill="1" applyBorder="1" applyAlignment="1">
      <alignment wrapText="1"/>
    </xf>
    <xf numFmtId="0" fontId="35" fillId="0" borderId="0" xfId="0" applyNumberFormat="1" applyFont="1"/>
    <xf numFmtId="165" fontId="40" fillId="0" borderId="1" xfId="1" applyNumberFormat="1" applyFont="1" applyBorder="1"/>
    <xf numFmtId="0" fontId="40" fillId="0" borderId="1" xfId="0" applyFont="1" applyBorder="1"/>
    <xf numFmtId="0" fontId="40" fillId="0" borderId="1" xfId="0" applyFont="1" applyBorder="1" applyAlignment="1">
      <alignment horizontal="justify" vertical="center" wrapText="1"/>
    </xf>
    <xf numFmtId="165" fontId="40" fillId="7" borderId="1" xfId="1" applyNumberFormat="1" applyFont="1" applyFill="1" applyBorder="1"/>
    <xf numFmtId="0" fontId="40" fillId="0" borderId="1" xfId="0" applyFont="1" applyBorder="1" applyAlignment="1">
      <alignment wrapText="1"/>
    </xf>
    <xf numFmtId="0" fontId="32" fillId="0" borderId="0" xfId="0" applyFont="1" applyBorder="1"/>
    <xf numFmtId="0" fontId="34" fillId="0" borderId="0" xfId="0" applyFont="1" applyBorder="1" applyAlignment="1">
      <alignment horizontal="justify" vertical="center"/>
    </xf>
    <xf numFmtId="165" fontId="31" fillId="0" borderId="0" xfId="1" applyNumberFormat="1" applyFont="1" applyBorder="1"/>
    <xf numFmtId="0" fontId="33" fillId="0" borderId="0" xfId="0" applyFont="1" applyBorder="1"/>
    <xf numFmtId="0" fontId="40" fillId="0" borderId="0" xfId="0" applyFont="1" applyFill="1" applyBorder="1" applyAlignment="1">
      <alignment horizontal="justify" vertical="center"/>
    </xf>
    <xf numFmtId="0" fontId="41" fillId="3" borderId="6" xfId="0" applyFont="1" applyFill="1" applyBorder="1" applyAlignment="1">
      <alignment horizontal="center" vertical="center" wrapText="1"/>
    </xf>
    <xf numFmtId="164" fontId="42" fillId="2" borderId="2" xfId="1" applyNumberFormat="1" applyFont="1" applyFill="1" applyBorder="1" applyAlignment="1">
      <alignment horizontal="center" vertical="center" textRotation="90" wrapText="1"/>
    </xf>
    <xf numFmtId="0" fontId="41" fillId="3" borderId="2" xfId="0" applyFont="1" applyFill="1" applyBorder="1" applyAlignment="1">
      <alignment horizontal="center" vertical="center" wrapText="1"/>
    </xf>
    <xf numFmtId="0" fontId="43" fillId="0" borderId="0" xfId="0" applyFont="1"/>
    <xf numFmtId="0" fontId="35" fillId="0" borderId="1" xfId="0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right" vertical="center" wrapText="1"/>
    </xf>
    <xf numFmtId="165" fontId="35" fillId="0" borderId="1" xfId="1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35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wrapText="1"/>
    </xf>
    <xf numFmtId="0" fontId="35" fillId="0" borderId="1" xfId="0" applyFont="1" applyFill="1" applyBorder="1"/>
    <xf numFmtId="3" fontId="35" fillId="0" borderId="1" xfId="0" applyNumberFormat="1" applyFont="1" applyFill="1" applyBorder="1"/>
    <xf numFmtId="0" fontId="35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right" vertical="center" wrapText="1"/>
    </xf>
    <xf numFmtId="165" fontId="45" fillId="0" borderId="1" xfId="1" applyNumberFormat="1" applyFont="1" applyFill="1" applyBorder="1" applyAlignment="1">
      <alignment horizontal="right" vertical="center" wrapText="1"/>
    </xf>
    <xf numFmtId="165" fontId="43" fillId="0" borderId="1" xfId="1" applyNumberFormat="1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164" fontId="42" fillId="2" borderId="1" xfId="1" applyNumberFormat="1" applyFont="1" applyFill="1" applyBorder="1" applyAlignment="1">
      <alignment horizontal="center" vertical="center" textRotation="90" wrapText="1"/>
    </xf>
    <xf numFmtId="0" fontId="41" fillId="3" borderId="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wrapText="1"/>
    </xf>
    <xf numFmtId="3" fontId="35" fillId="0" borderId="2" xfId="0" applyNumberFormat="1" applyFont="1" applyFill="1" applyBorder="1"/>
    <xf numFmtId="0" fontId="3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right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wrapText="1"/>
    </xf>
    <xf numFmtId="165" fontId="38" fillId="0" borderId="1" xfId="1" applyNumberFormat="1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165" fontId="38" fillId="0" borderId="4" xfId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wrapText="1"/>
    </xf>
    <xf numFmtId="3" fontId="35" fillId="0" borderId="11" xfId="0" applyNumberFormat="1" applyFont="1" applyFill="1" applyBorder="1"/>
    <xf numFmtId="43" fontId="43" fillId="0" borderId="0" xfId="0" applyNumberFormat="1" applyFont="1"/>
    <xf numFmtId="3" fontId="35" fillId="0" borderId="0" xfId="0" applyNumberFormat="1" applyFont="1" applyFill="1"/>
    <xf numFmtId="0" fontId="45" fillId="0" borderId="1" xfId="0" applyFont="1" applyFill="1" applyBorder="1" applyAlignment="1">
      <alignment horizontal="center" vertical="center" wrapText="1"/>
    </xf>
    <xf numFmtId="165" fontId="45" fillId="0" borderId="1" xfId="1" applyNumberFormat="1" applyFont="1" applyFill="1" applyBorder="1" applyAlignment="1">
      <alignment horizontal="center" vertical="center" wrapText="1"/>
    </xf>
    <xf numFmtId="0" fontId="43" fillId="0" borderId="0" xfId="0" applyFont="1" applyFill="1"/>
    <xf numFmtId="0" fontId="43" fillId="0" borderId="0" xfId="0" applyFont="1" applyFill="1" applyAlignment="1">
      <alignment wrapText="1"/>
    </xf>
    <xf numFmtId="165" fontId="43" fillId="0" borderId="0" xfId="0" applyNumberFormat="1" applyFont="1" applyFill="1"/>
    <xf numFmtId="0" fontId="43" fillId="0" borderId="1" xfId="0" applyFont="1" applyFill="1" applyBorder="1" applyAlignment="1">
      <alignment vertical="center" wrapText="1"/>
    </xf>
    <xf numFmtId="0" fontId="47" fillId="0" borderId="0" xfId="0" applyFont="1"/>
    <xf numFmtId="0" fontId="45" fillId="0" borderId="1" xfId="0" applyFont="1" applyFill="1" applyBorder="1" applyAlignment="1">
      <alignment vertical="center" wrapText="1"/>
    </xf>
    <xf numFmtId="0" fontId="43" fillId="0" borderId="1" xfId="0" applyFont="1" applyBorder="1"/>
    <xf numFmtId="165" fontId="36" fillId="0" borderId="1" xfId="1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37" fontId="43" fillId="0" borderId="1" xfId="0" applyNumberFormat="1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46" fillId="0" borderId="1" xfId="0" applyFont="1" applyBorder="1"/>
    <xf numFmtId="37" fontId="47" fillId="0" borderId="1" xfId="0" applyNumberFormat="1" applyFont="1" applyFill="1" applyBorder="1" applyAlignment="1">
      <alignment vertical="center" wrapText="1"/>
    </xf>
    <xf numFmtId="9" fontId="43" fillId="0" borderId="1" xfId="0" applyNumberFormat="1" applyFont="1" applyFill="1" applyBorder="1" applyAlignment="1">
      <alignment vertical="center" wrapText="1"/>
    </xf>
    <xf numFmtId="0" fontId="43" fillId="0" borderId="0" xfId="0" applyFont="1" applyAlignment="1">
      <alignment wrapText="1"/>
    </xf>
    <xf numFmtId="0" fontId="49" fillId="0" borderId="0" xfId="3" applyFont="1"/>
    <xf numFmtId="0" fontId="7" fillId="0" borderId="1" xfId="0" applyFont="1" applyBorder="1" applyAlignment="1">
      <alignment horizontal="center"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165" fontId="7" fillId="5" borderId="1" xfId="4" applyNumberFormat="1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14" xfId="3" applyFont="1" applyBorder="1" applyAlignment="1">
      <alignment wrapText="1"/>
    </xf>
    <xf numFmtId="0" fontId="11" fillId="0" borderId="4" xfId="3" applyFont="1" applyBorder="1" applyAlignment="1">
      <alignment wrapText="1"/>
    </xf>
    <xf numFmtId="165" fontId="7" fillId="0" borderId="3" xfId="4" applyNumberFormat="1" applyFont="1" applyBorder="1" applyAlignment="1">
      <alignment horizontal="center" vertical="center" wrapText="1"/>
    </xf>
    <xf numFmtId="165" fontId="7" fillId="0" borderId="14" xfId="4" applyNumberFormat="1" applyFont="1" applyBorder="1" applyAlignment="1">
      <alignment horizontal="center" vertical="center" wrapText="1"/>
    </xf>
    <xf numFmtId="165" fontId="7" fillId="0" borderId="4" xfId="4" applyNumberFormat="1" applyFont="1" applyBorder="1" applyAlignment="1">
      <alignment horizontal="center" vertical="center" wrapText="1"/>
    </xf>
    <xf numFmtId="0" fontId="11" fillId="0" borderId="5" xfId="3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165" fontId="7" fillId="5" borderId="3" xfId="4" applyNumberFormat="1" applyFont="1" applyFill="1" applyBorder="1" applyAlignment="1">
      <alignment horizontal="center" vertical="center" wrapText="1"/>
    </xf>
    <xf numFmtId="165" fontId="7" fillId="5" borderId="14" xfId="4" applyNumberFormat="1" applyFont="1" applyFill="1" applyBorder="1" applyAlignment="1">
      <alignment horizontal="center" vertical="center" wrapText="1"/>
    </xf>
    <xf numFmtId="165" fontId="7" fillId="5" borderId="4" xfId="4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7" xfId="3" applyFont="1" applyBorder="1" applyAlignment="1">
      <alignment wrapText="1"/>
    </xf>
    <xf numFmtId="0" fontId="20" fillId="4" borderId="1" xfId="0" applyFont="1" applyFill="1" applyBorder="1" applyAlignment="1">
      <alignment vertical="center" wrapText="1"/>
    </xf>
    <xf numFmtId="165" fontId="20" fillId="0" borderId="1" xfId="4" applyNumberFormat="1" applyFont="1" applyBorder="1" applyAlignment="1">
      <alignment horizontal="center" vertical="center" wrapText="1"/>
    </xf>
    <xf numFmtId="0" fontId="20" fillId="4" borderId="0" xfId="0" applyFont="1" applyFill="1" applyAlignment="1">
      <alignment horizontal="justify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1" fillId="0" borderId="13" xfId="3" applyFont="1" applyBorder="1" applyAlignment="1">
      <alignment wrapText="1"/>
    </xf>
    <xf numFmtId="0" fontId="11" fillId="0" borderId="9" xfId="3" applyFont="1" applyBorder="1" applyAlignment="1">
      <alignment wrapText="1"/>
    </xf>
    <xf numFmtId="0" fontId="11" fillId="0" borderId="10" xfId="3" applyFont="1" applyBorder="1" applyAlignment="1">
      <alignment wrapText="1"/>
    </xf>
    <xf numFmtId="165" fontId="20" fillId="0" borderId="4" xfId="4" applyNumberFormat="1" applyFont="1" applyBorder="1" applyAlignment="1">
      <alignment horizontal="center" vertical="center" wrapText="1"/>
    </xf>
    <xf numFmtId="165" fontId="7" fillId="0" borderId="16" xfId="4" applyNumberFormat="1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65" fontId="7" fillId="0" borderId="11" xfId="4" applyNumberFormat="1" applyFont="1" applyBorder="1" applyAlignment="1">
      <alignment horizontal="center" vertical="center" wrapText="1"/>
    </xf>
    <xf numFmtId="165" fontId="7" fillId="0" borderId="18" xfId="4" applyNumberFormat="1" applyFont="1" applyBorder="1" applyAlignment="1">
      <alignment horizontal="center" vertical="center" wrapText="1"/>
    </xf>
    <xf numFmtId="0" fontId="11" fillId="0" borderId="6" xfId="3" applyFont="1" applyBorder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5" fontId="27" fillId="0" borderId="1" xfId="4" applyNumberFormat="1" applyFont="1" applyBorder="1" applyAlignment="1">
      <alignment horizontal="center" vertical="center" wrapText="1"/>
    </xf>
    <xf numFmtId="0" fontId="16" fillId="0" borderId="0" xfId="3" applyFont="1" applyAlignment="1">
      <alignment horizontal="right" vertical="center"/>
    </xf>
    <xf numFmtId="0" fontId="17" fillId="0" borderId="0" xfId="3" applyFont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2" borderId="0" xfId="3" applyFont="1" applyFill="1" applyAlignment="1">
      <alignment horizontal="center" vertical="center"/>
    </xf>
    <xf numFmtId="0" fontId="7" fillId="4" borderId="15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7" fillId="4" borderId="7" xfId="0" applyFont="1" applyFill="1" applyBorder="1" applyAlignment="1">
      <alignment horizontal="justify" vertical="center" wrapText="1"/>
    </xf>
    <xf numFmtId="0" fontId="16" fillId="2" borderId="0" xfId="3" applyFont="1" applyFill="1" applyAlignment="1">
      <alignment horizontal="center" vertical="center"/>
    </xf>
    <xf numFmtId="0" fontId="7" fillId="4" borderId="13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Обычный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19" zoomScaleNormal="100" workbookViewId="0">
      <selection activeCell="E39" sqref="E39"/>
    </sheetView>
  </sheetViews>
  <sheetFormatPr defaultColWidth="9.140625" defaultRowHeight="11.25"/>
  <cols>
    <col min="1" max="1" width="6.28515625" style="125" customWidth="1"/>
    <col min="2" max="2" width="84.28515625" style="173" customWidth="1"/>
    <col min="3" max="3" width="11.28515625" style="125" bestFit="1" customWidth="1"/>
    <col min="4" max="4" width="6.5703125" style="125" bestFit="1" customWidth="1"/>
    <col min="5" max="5" width="17.85546875" style="125" customWidth="1"/>
    <col min="6" max="6" width="10.42578125" style="125" bestFit="1" customWidth="1"/>
    <col min="7" max="16384" width="9.140625" style="125"/>
  </cols>
  <sheetData>
    <row r="1" spans="1:6" ht="69" customHeight="1">
      <c r="A1" s="122"/>
      <c r="B1" s="122" t="s">
        <v>0</v>
      </c>
      <c r="C1" s="122" t="s">
        <v>46</v>
      </c>
      <c r="D1" s="123" t="s">
        <v>44</v>
      </c>
      <c r="E1" s="124" t="s">
        <v>48</v>
      </c>
    </row>
    <row r="2" spans="1:6" s="129" customFormat="1">
      <c r="A2" s="126">
        <v>1</v>
      </c>
      <c r="B2" s="101" t="s">
        <v>116</v>
      </c>
      <c r="C2" s="127">
        <v>365000</v>
      </c>
      <c r="D2" s="128"/>
      <c r="E2" s="127">
        <f>+C2</f>
        <v>365000</v>
      </c>
    </row>
    <row r="3" spans="1:6" s="129" customFormat="1" ht="12">
      <c r="A3" s="126" t="s">
        <v>268</v>
      </c>
      <c r="B3" s="130" t="s">
        <v>117</v>
      </c>
      <c r="C3" s="127">
        <v>2300</v>
      </c>
      <c r="D3" s="128" t="s">
        <v>125</v>
      </c>
      <c r="E3" s="127">
        <f t="shared" ref="E3:E5" si="0">+C3</f>
        <v>2300</v>
      </c>
    </row>
    <row r="4" spans="1:6" s="129" customFormat="1" ht="12">
      <c r="A4" s="126" t="s">
        <v>269</v>
      </c>
      <c r="B4" s="131" t="s">
        <v>118</v>
      </c>
      <c r="C4" s="127">
        <v>400</v>
      </c>
      <c r="D4" s="128"/>
      <c r="E4" s="127">
        <f t="shared" si="0"/>
        <v>400</v>
      </c>
    </row>
    <row r="5" spans="1:6" s="129" customFormat="1" ht="12">
      <c r="A5" s="126" t="s">
        <v>270</v>
      </c>
      <c r="B5" s="101" t="s">
        <v>119</v>
      </c>
      <c r="C5" s="132">
        <v>700</v>
      </c>
      <c r="D5" s="128"/>
      <c r="E5" s="127">
        <f t="shared" si="0"/>
        <v>700</v>
      </c>
    </row>
    <row r="6" spans="1:6" s="129" customFormat="1">
      <c r="A6" s="126">
        <v>5</v>
      </c>
      <c r="B6" s="130" t="s">
        <v>120</v>
      </c>
      <c r="C6" s="133">
        <v>1450</v>
      </c>
      <c r="D6" s="128"/>
      <c r="E6" s="127">
        <v>0</v>
      </c>
    </row>
    <row r="7" spans="1:6" s="129" customFormat="1" ht="24" customHeight="1">
      <c r="A7" s="126">
        <v>6</v>
      </c>
      <c r="B7" s="130" t="s">
        <v>121</v>
      </c>
      <c r="C7" s="133">
        <v>3250</v>
      </c>
      <c r="D7" s="128"/>
      <c r="E7" s="127">
        <f>+C7-3250</f>
        <v>0</v>
      </c>
    </row>
    <row r="8" spans="1:6" s="129" customFormat="1">
      <c r="A8" s="126"/>
      <c r="B8" s="134" t="s">
        <v>123</v>
      </c>
      <c r="C8" s="133"/>
      <c r="D8" s="128" t="s">
        <v>124</v>
      </c>
      <c r="E8" s="127">
        <f>+C8+C41</f>
        <v>1800</v>
      </c>
    </row>
    <row r="9" spans="1:6" ht="19.149999999999999" customHeight="1">
      <c r="A9" s="135"/>
      <c r="B9" s="136" t="s">
        <v>14</v>
      </c>
      <c r="C9" s="137">
        <f>SUM(C2:C8)</f>
        <v>373100</v>
      </c>
      <c r="D9" s="138"/>
      <c r="E9" s="137">
        <f>SUM(E2:E8)</f>
        <v>370200</v>
      </c>
    </row>
    <row r="11" spans="1:6" s="129" customFormat="1" ht="63" customHeight="1">
      <c r="A11" s="122"/>
      <c r="B11" s="122" t="s">
        <v>1</v>
      </c>
      <c r="C11" s="139" t="s">
        <v>46</v>
      </c>
      <c r="D11" s="140" t="s">
        <v>44</v>
      </c>
      <c r="E11" s="141" t="s">
        <v>47</v>
      </c>
    </row>
    <row r="12" spans="1:6" ht="12">
      <c r="A12" s="142" t="s">
        <v>271</v>
      </c>
      <c r="B12" s="143" t="s">
        <v>126</v>
      </c>
      <c r="C12" s="144">
        <v>308000</v>
      </c>
      <c r="D12" s="128" t="s">
        <v>162</v>
      </c>
      <c r="E12" s="133">
        <f>+C12+C42</f>
        <v>311970</v>
      </c>
    </row>
    <row r="13" spans="1:6" ht="12">
      <c r="A13" s="145" t="s">
        <v>272</v>
      </c>
      <c r="B13" s="146" t="s">
        <v>161</v>
      </c>
      <c r="C13" s="147">
        <v>900</v>
      </c>
      <c r="D13" s="128" t="s">
        <v>163</v>
      </c>
      <c r="E13" s="133">
        <f>+C13-900+E9*0.25%</f>
        <v>925.5</v>
      </c>
    </row>
    <row r="14" spans="1:6" ht="22.5">
      <c r="A14" s="148">
        <v>3</v>
      </c>
      <c r="B14" s="149" t="s">
        <v>171</v>
      </c>
      <c r="C14" s="147">
        <v>560</v>
      </c>
      <c r="D14" s="150"/>
      <c r="E14" s="133">
        <f>+C14-560</f>
        <v>0</v>
      </c>
    </row>
    <row r="15" spans="1:6">
      <c r="A15" s="151">
        <v>4</v>
      </c>
      <c r="B15" s="146" t="s">
        <v>157</v>
      </c>
      <c r="C15" s="147">
        <v>730</v>
      </c>
      <c r="D15" s="152"/>
      <c r="E15" s="133">
        <f>+C15</f>
        <v>730</v>
      </c>
    </row>
    <row r="16" spans="1:6" ht="22.5">
      <c r="A16" s="126" t="s">
        <v>273</v>
      </c>
      <c r="B16" s="153" t="s">
        <v>127</v>
      </c>
      <c r="C16" s="154">
        <v>15400</v>
      </c>
      <c r="D16" s="128" t="s">
        <v>6</v>
      </c>
      <c r="E16" s="133">
        <f>+C16-C46-C48</f>
        <v>14980</v>
      </c>
      <c r="F16" s="155"/>
    </row>
    <row r="17" spans="1:6" s="129" customFormat="1" ht="12">
      <c r="A17" s="126" t="s">
        <v>274</v>
      </c>
      <c r="B17" s="131" t="s">
        <v>128</v>
      </c>
      <c r="C17" s="133">
        <v>2350</v>
      </c>
      <c r="D17" s="128" t="s">
        <v>2</v>
      </c>
      <c r="E17" s="133">
        <f>+C17-C50</f>
        <v>2050</v>
      </c>
    </row>
    <row r="18" spans="1:6" s="129" customFormat="1" ht="22.5">
      <c r="A18" s="126" t="s">
        <v>275</v>
      </c>
      <c r="B18" s="131" t="s">
        <v>129</v>
      </c>
      <c r="C18" s="156">
        <v>17350</v>
      </c>
      <c r="D18" s="128" t="s">
        <v>3</v>
      </c>
      <c r="E18" s="133">
        <f>+C18-C52+C53</f>
        <v>16900</v>
      </c>
    </row>
    <row r="19" spans="1:6" ht="12">
      <c r="A19" s="126" t="s">
        <v>276</v>
      </c>
      <c r="B19" s="131" t="s">
        <v>130</v>
      </c>
      <c r="C19" s="133">
        <v>930</v>
      </c>
      <c r="D19" s="150" t="s">
        <v>4</v>
      </c>
      <c r="E19" s="133">
        <f>+C19-930+C55</f>
        <v>700</v>
      </c>
    </row>
    <row r="20" spans="1:6">
      <c r="A20" s="126">
        <v>9</v>
      </c>
      <c r="B20" s="131" t="s">
        <v>131</v>
      </c>
      <c r="C20" s="133">
        <v>2000</v>
      </c>
      <c r="D20" s="128"/>
      <c r="E20" s="133">
        <f t="shared" ref="E20" si="1">+C20</f>
        <v>2000</v>
      </c>
    </row>
    <row r="21" spans="1:6" ht="12">
      <c r="A21" s="126" t="s">
        <v>277</v>
      </c>
      <c r="B21" s="131" t="s">
        <v>132</v>
      </c>
      <c r="C21" s="133">
        <v>7450</v>
      </c>
      <c r="D21" s="150" t="s">
        <v>5</v>
      </c>
      <c r="E21" s="133">
        <f>+C21-1200-250-C57</f>
        <v>5900</v>
      </c>
    </row>
    <row r="22" spans="1:6">
      <c r="A22" s="126">
        <v>11</v>
      </c>
      <c r="B22" s="131" t="s">
        <v>133</v>
      </c>
      <c r="C22" s="133">
        <v>320</v>
      </c>
      <c r="D22" s="128"/>
      <c r="E22" s="133">
        <f>+C22-320</f>
        <v>0</v>
      </c>
    </row>
    <row r="23" spans="1:6" ht="12">
      <c r="A23" s="126" t="s">
        <v>278</v>
      </c>
      <c r="B23" s="131" t="s">
        <v>134</v>
      </c>
      <c r="C23" s="133">
        <v>770</v>
      </c>
      <c r="D23" s="150"/>
      <c r="E23" s="133">
        <f>+C23-770</f>
        <v>0</v>
      </c>
    </row>
    <row r="24" spans="1:6" ht="12">
      <c r="A24" s="126" t="s">
        <v>279</v>
      </c>
      <c r="B24" s="149" t="s">
        <v>135</v>
      </c>
      <c r="C24" s="133">
        <v>4600</v>
      </c>
      <c r="D24" s="150" t="s">
        <v>80</v>
      </c>
      <c r="E24" s="133">
        <f>+C24-1600</f>
        <v>3000</v>
      </c>
    </row>
    <row r="25" spans="1:6" ht="12">
      <c r="A25" s="126" t="s">
        <v>280</v>
      </c>
      <c r="B25" s="131" t="s">
        <v>136</v>
      </c>
      <c r="C25" s="133">
        <v>840</v>
      </c>
      <c r="D25" s="150" t="s">
        <v>81</v>
      </c>
      <c r="E25" s="133">
        <f>+C25-C63</f>
        <v>35</v>
      </c>
    </row>
    <row r="26" spans="1:6" ht="12">
      <c r="A26" s="126" t="s">
        <v>281</v>
      </c>
      <c r="B26" s="149" t="s">
        <v>137</v>
      </c>
      <c r="C26" s="150">
        <v>700</v>
      </c>
      <c r="D26" s="150" t="s">
        <v>83</v>
      </c>
      <c r="E26" s="133">
        <f>+C26-300</f>
        <v>400</v>
      </c>
    </row>
    <row r="27" spans="1:6" ht="12">
      <c r="A27" s="126" t="s">
        <v>282</v>
      </c>
      <c r="B27" s="131" t="s">
        <v>138</v>
      </c>
      <c r="C27" s="133">
        <f>1360+380</f>
        <v>1740</v>
      </c>
      <c r="D27" s="128"/>
      <c r="E27" s="133">
        <f>+C27-C65</f>
        <v>609</v>
      </c>
    </row>
    <row r="28" spans="1:6" ht="22.5">
      <c r="A28" s="126">
        <v>17</v>
      </c>
      <c r="B28" s="131" t="s">
        <v>139</v>
      </c>
      <c r="C28" s="133">
        <v>65</v>
      </c>
      <c r="D28" s="128"/>
      <c r="E28" s="133">
        <f>+C28-65</f>
        <v>0</v>
      </c>
      <c r="F28" s="129"/>
    </row>
    <row r="29" spans="1:6" ht="12">
      <c r="A29" s="126" t="s">
        <v>283</v>
      </c>
      <c r="B29" s="131" t="s">
        <v>172</v>
      </c>
      <c r="C29" s="133">
        <v>530</v>
      </c>
      <c r="D29" s="150" t="s">
        <v>173</v>
      </c>
      <c r="E29" s="133">
        <f>+C29-530</f>
        <v>0</v>
      </c>
    </row>
    <row r="30" spans="1:6">
      <c r="A30" s="157"/>
      <c r="B30" s="136" t="s">
        <v>15</v>
      </c>
      <c r="C30" s="158">
        <f>SUM(C12:C29)</f>
        <v>365235</v>
      </c>
      <c r="D30" s="158"/>
      <c r="E30" s="158">
        <f>SUM(E12:E29)</f>
        <v>360199.5</v>
      </c>
    </row>
    <row r="31" spans="1:6">
      <c r="A31" s="159"/>
      <c r="B31" s="160"/>
      <c r="C31" s="161"/>
      <c r="D31" s="159"/>
      <c r="E31" s="159"/>
    </row>
    <row r="32" spans="1:6" s="163" customFormat="1" ht="14.45" customHeight="1">
      <c r="A32" s="159"/>
      <c r="B32" s="162" t="s">
        <v>45</v>
      </c>
      <c r="C32" s="162"/>
      <c r="D32" s="162"/>
      <c r="E32" s="138">
        <f>+E9-E30</f>
        <v>10000.5</v>
      </c>
    </row>
    <row r="33" spans="1:5" s="163" customFormat="1" ht="14.45" customHeight="1">
      <c r="A33" s="159"/>
      <c r="B33" s="164" t="s">
        <v>82</v>
      </c>
      <c r="C33" s="164"/>
      <c r="D33" s="164"/>
      <c r="E33" s="158">
        <f>+E32*18%</f>
        <v>1800.09</v>
      </c>
    </row>
    <row r="34" spans="1:5" s="163" customFormat="1" ht="14.45" customHeight="1">
      <c r="A34" s="159"/>
      <c r="B34" s="162" t="s">
        <v>158</v>
      </c>
      <c r="C34" s="162"/>
      <c r="D34" s="138"/>
      <c r="E34" s="138">
        <v>-3830</v>
      </c>
    </row>
    <row r="35" spans="1:5" s="163" customFormat="1" ht="14.45" customHeight="1">
      <c r="A35" s="159"/>
      <c r="B35" s="164" t="s">
        <v>176</v>
      </c>
      <c r="C35" s="164"/>
      <c r="D35" s="164"/>
      <c r="E35" s="158">
        <f>SUM(E33:E34)</f>
        <v>-2029.91</v>
      </c>
    </row>
    <row r="36" spans="1:5" s="163" customFormat="1" ht="22.5">
      <c r="A36" s="159"/>
      <c r="B36" s="131" t="s">
        <v>159</v>
      </c>
      <c r="C36" s="138">
        <f>98500*2%</f>
        <v>1970</v>
      </c>
      <c r="D36" s="164"/>
      <c r="E36" s="158"/>
    </row>
    <row r="37" spans="1:5" s="163" customFormat="1" ht="14.45" customHeight="1">
      <c r="A37" s="159"/>
      <c r="B37" s="162" t="s">
        <v>160</v>
      </c>
      <c r="C37" s="138">
        <f>+E33*0.2</f>
        <v>360.01800000000003</v>
      </c>
      <c r="D37" s="138"/>
      <c r="E37" s="138"/>
    </row>
    <row r="38" spans="1:5" s="163" customFormat="1" ht="14.45" customHeight="1">
      <c r="A38" s="159"/>
      <c r="B38" s="162" t="s">
        <v>286</v>
      </c>
      <c r="C38" s="165"/>
      <c r="D38" s="138"/>
      <c r="E38" s="166">
        <v>360</v>
      </c>
    </row>
    <row r="39" spans="1:5">
      <c r="A39" s="159"/>
      <c r="B39" s="160"/>
      <c r="C39" s="159"/>
      <c r="D39" s="159"/>
      <c r="E39" s="159"/>
    </row>
    <row r="40" spans="1:5">
      <c r="A40" s="167" t="s">
        <v>125</v>
      </c>
      <c r="B40" s="162" t="s">
        <v>122</v>
      </c>
      <c r="C40" s="168">
        <v>2000</v>
      </c>
      <c r="D40" s="168"/>
      <c r="E40" s="162"/>
    </row>
    <row r="41" spans="1:5">
      <c r="A41" s="167" t="s">
        <v>124</v>
      </c>
      <c r="B41" s="162" t="s">
        <v>140</v>
      </c>
      <c r="C41" s="168">
        <f>200*9</f>
        <v>1800</v>
      </c>
      <c r="D41" s="168"/>
      <c r="E41" s="162"/>
    </row>
    <row r="42" spans="1:5">
      <c r="A42" s="128" t="s">
        <v>162</v>
      </c>
      <c r="B42" s="162" t="s">
        <v>165</v>
      </c>
      <c r="C42" s="168">
        <f>313000-1030-308000</f>
        <v>3970</v>
      </c>
      <c r="D42" s="168"/>
      <c r="E42" s="162"/>
    </row>
    <row r="43" spans="1:5">
      <c r="A43" s="128" t="s">
        <v>163</v>
      </c>
      <c r="B43" s="169" t="s">
        <v>164</v>
      </c>
      <c r="C43" s="168">
        <f>371650*0.25%</f>
        <v>929.125</v>
      </c>
      <c r="D43" s="168"/>
      <c r="E43" s="162"/>
    </row>
    <row r="44" spans="1:5">
      <c r="A44" s="128" t="s">
        <v>163</v>
      </c>
      <c r="B44" s="169" t="s">
        <v>167</v>
      </c>
      <c r="C44" s="168">
        <v>1030</v>
      </c>
      <c r="D44" s="168"/>
      <c r="E44" s="162"/>
    </row>
    <row r="45" spans="1:5">
      <c r="A45" s="128" t="s">
        <v>163</v>
      </c>
      <c r="B45" s="169" t="s">
        <v>166</v>
      </c>
      <c r="C45" s="168">
        <f>1030-929</f>
        <v>101</v>
      </c>
      <c r="D45" s="168"/>
      <c r="E45" s="162"/>
    </row>
    <row r="46" spans="1:5">
      <c r="A46" s="128" t="s">
        <v>6</v>
      </c>
      <c r="B46" s="162" t="s">
        <v>144</v>
      </c>
      <c r="C46" s="168">
        <v>240</v>
      </c>
      <c r="D46" s="168"/>
      <c r="E46" s="162"/>
    </row>
    <row r="47" spans="1:5">
      <c r="A47" s="128" t="s">
        <v>6</v>
      </c>
      <c r="B47" s="162" t="s">
        <v>145</v>
      </c>
      <c r="C47" s="168">
        <f>7200*7.5%</f>
        <v>540</v>
      </c>
      <c r="D47" s="168"/>
      <c r="E47" s="162"/>
    </row>
    <row r="48" spans="1:5">
      <c r="A48" s="128" t="s">
        <v>6</v>
      </c>
      <c r="B48" s="162" t="s">
        <v>146</v>
      </c>
      <c r="C48" s="168">
        <f>720-540</f>
        <v>180</v>
      </c>
      <c r="D48" s="168"/>
      <c r="E48" s="162"/>
    </row>
    <row r="49" spans="1:5">
      <c r="A49" s="128" t="s">
        <v>2</v>
      </c>
      <c r="B49" s="162" t="s">
        <v>141</v>
      </c>
      <c r="C49" s="168">
        <f>20*30</f>
        <v>600</v>
      </c>
      <c r="D49" s="168"/>
      <c r="E49" s="162"/>
    </row>
    <row r="50" spans="1:5">
      <c r="A50" s="128" t="s">
        <v>2</v>
      </c>
      <c r="B50" s="162" t="s">
        <v>142</v>
      </c>
      <c r="C50" s="168">
        <f>20*45-600</f>
        <v>300</v>
      </c>
      <c r="D50" s="168"/>
      <c r="E50" s="162"/>
    </row>
    <row r="51" spans="1:5">
      <c r="A51" s="128" t="s">
        <v>2</v>
      </c>
      <c r="B51" s="162" t="s">
        <v>143</v>
      </c>
      <c r="C51" s="168">
        <f>371650*5%</f>
        <v>18582.5</v>
      </c>
      <c r="D51" s="168"/>
      <c r="E51" s="162"/>
    </row>
    <row r="52" spans="1:5">
      <c r="A52" s="128" t="s">
        <v>3</v>
      </c>
      <c r="B52" s="162" t="s">
        <v>147</v>
      </c>
      <c r="C52" s="168">
        <v>1350</v>
      </c>
      <c r="D52" s="168"/>
      <c r="E52" s="162"/>
    </row>
    <row r="53" spans="1:5">
      <c r="A53" s="128" t="s">
        <v>3</v>
      </c>
      <c r="B53" s="162" t="s">
        <v>148</v>
      </c>
      <c r="C53" s="168">
        <f>600*150%</f>
        <v>900</v>
      </c>
      <c r="D53" s="168"/>
      <c r="E53" s="162"/>
    </row>
    <row r="54" spans="1:5" ht="22.5">
      <c r="A54" s="150" t="s">
        <v>4</v>
      </c>
      <c r="B54" s="131" t="s">
        <v>154</v>
      </c>
      <c r="C54" s="168">
        <f>371650*0.25%</f>
        <v>929.125</v>
      </c>
      <c r="D54" s="168"/>
      <c r="E54" s="162"/>
    </row>
    <row r="55" spans="1:5" ht="22.5">
      <c r="A55" s="150" t="s">
        <v>4</v>
      </c>
      <c r="B55" s="131" t="s">
        <v>168</v>
      </c>
      <c r="C55" s="168">
        <f>930-230</f>
        <v>700</v>
      </c>
      <c r="D55" s="168"/>
      <c r="E55" s="162"/>
    </row>
    <row r="56" spans="1:5">
      <c r="A56" s="150" t="s">
        <v>5</v>
      </c>
      <c r="B56" s="170" t="s">
        <v>156</v>
      </c>
      <c r="C56" s="168">
        <v>125</v>
      </c>
      <c r="D56" s="168"/>
      <c r="E56" s="162"/>
    </row>
    <row r="57" spans="1:5">
      <c r="A57" s="150" t="s">
        <v>5</v>
      </c>
      <c r="B57" s="170" t="s">
        <v>155</v>
      </c>
      <c r="C57" s="171">
        <f>+(125-100)*4</f>
        <v>100</v>
      </c>
      <c r="D57" s="171"/>
      <c r="E57" s="162"/>
    </row>
    <row r="58" spans="1:5">
      <c r="A58" s="150" t="s">
        <v>80</v>
      </c>
      <c r="B58" s="131" t="s">
        <v>149</v>
      </c>
      <c r="C58" s="172">
        <f>2*12%</f>
        <v>0.24</v>
      </c>
      <c r="D58" s="168"/>
      <c r="E58" s="162"/>
    </row>
    <row r="59" spans="1:5">
      <c r="A59" s="150" t="s">
        <v>80</v>
      </c>
      <c r="B59" s="131" t="s">
        <v>287</v>
      </c>
      <c r="C59" s="168">
        <f>4600/25</f>
        <v>184</v>
      </c>
      <c r="D59" s="168"/>
      <c r="E59" s="162"/>
    </row>
    <row r="60" spans="1:5">
      <c r="A60" s="150" t="s">
        <v>80</v>
      </c>
      <c r="B60" s="131" t="s">
        <v>150</v>
      </c>
      <c r="C60" s="168">
        <f>2*1500</f>
        <v>3000</v>
      </c>
      <c r="D60" s="168"/>
      <c r="E60" s="162"/>
    </row>
    <row r="61" spans="1:5">
      <c r="A61" s="150" t="s">
        <v>80</v>
      </c>
      <c r="B61" s="131" t="s">
        <v>151</v>
      </c>
      <c r="C61" s="168">
        <f>+C60</f>
        <v>3000</v>
      </c>
      <c r="D61" s="168"/>
      <c r="E61" s="162"/>
    </row>
    <row r="62" spans="1:5">
      <c r="A62" s="150" t="s">
        <v>81</v>
      </c>
      <c r="B62" s="131" t="s">
        <v>152</v>
      </c>
      <c r="C62" s="168">
        <f>3.5*10</f>
        <v>35</v>
      </c>
      <c r="D62" s="168"/>
      <c r="E62" s="162"/>
    </row>
    <row r="63" spans="1:5">
      <c r="A63" s="150" t="s">
        <v>81</v>
      </c>
      <c r="B63" s="131" t="s">
        <v>153</v>
      </c>
      <c r="C63" s="168">
        <f>840-35</f>
        <v>805</v>
      </c>
      <c r="D63" s="168"/>
      <c r="E63" s="162"/>
    </row>
    <row r="64" spans="1:5">
      <c r="A64" s="150" t="s">
        <v>83</v>
      </c>
      <c r="B64" s="131" t="s">
        <v>170</v>
      </c>
      <c r="C64" s="168">
        <f>929-700</f>
        <v>229</v>
      </c>
      <c r="D64" s="168"/>
      <c r="E64" s="162"/>
    </row>
    <row r="65" spans="1:5">
      <c r="A65" s="150" t="s">
        <v>83</v>
      </c>
      <c r="B65" s="131" t="s">
        <v>169</v>
      </c>
      <c r="C65" s="168">
        <f>1360-229</f>
        <v>1131</v>
      </c>
      <c r="D65" s="168"/>
      <c r="E65" s="162"/>
    </row>
    <row r="66" spans="1:5">
      <c r="A66" s="150" t="s">
        <v>173</v>
      </c>
      <c r="B66" s="131" t="s">
        <v>174</v>
      </c>
      <c r="C66" s="168">
        <f>+C43</f>
        <v>929.125</v>
      </c>
      <c r="D66" s="168"/>
      <c r="E66" s="162"/>
    </row>
    <row r="67" spans="1:5">
      <c r="A67" s="150" t="s">
        <v>173</v>
      </c>
      <c r="B67" s="131" t="s">
        <v>175</v>
      </c>
      <c r="C67" s="168">
        <v>530</v>
      </c>
      <c r="D67" s="168"/>
      <c r="E67" s="162"/>
    </row>
  </sheetData>
  <phoneticPr fontId="26" type="noConversion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79"/>
  <sheetViews>
    <sheetView topLeftCell="E1" zoomScale="80" zoomScaleNormal="80" workbookViewId="0">
      <selection activeCell="AI28" sqref="AI28:AJ35"/>
    </sheetView>
  </sheetViews>
  <sheetFormatPr defaultColWidth="9.140625" defaultRowHeight="18"/>
  <cols>
    <col min="1" max="1" width="3.7109375" style="1" customWidth="1"/>
    <col min="2" max="2" width="5" style="2" customWidth="1"/>
    <col min="3" max="3" width="13" style="3" customWidth="1"/>
    <col min="4" max="4" width="10.85546875" style="3" customWidth="1"/>
    <col min="5" max="5" width="2.85546875" style="3" customWidth="1"/>
    <col min="6" max="6" width="12.42578125" style="3" customWidth="1"/>
    <col min="7" max="7" width="2.28515625" style="3" customWidth="1"/>
    <col min="8" max="8" width="8.5703125" style="3" customWidth="1"/>
    <col min="9" max="9" width="5.28515625" style="3" customWidth="1"/>
    <col min="10" max="10" width="7.140625" style="3" customWidth="1"/>
    <col min="11" max="11" width="5.28515625" style="3" hidden="1" customWidth="1"/>
    <col min="12" max="12" width="8.7109375" style="3" customWidth="1"/>
    <col min="13" max="13" width="3" style="3" customWidth="1"/>
    <col min="14" max="15" width="2" style="3" customWidth="1"/>
    <col min="16" max="16" width="2.42578125" style="3" customWidth="1"/>
    <col min="17" max="17" width="2.85546875" style="3" customWidth="1"/>
    <col min="18" max="18" width="3.140625" style="3" customWidth="1"/>
    <col min="19" max="19" width="2.7109375" style="3" customWidth="1"/>
    <col min="20" max="22" width="2" style="3" customWidth="1"/>
    <col min="23" max="23" width="2.5703125" style="3" customWidth="1"/>
    <col min="24" max="24" width="2.7109375" style="3" customWidth="1"/>
    <col min="25" max="25" width="2.28515625" style="3" customWidth="1"/>
    <col min="26" max="26" width="2" style="3" customWidth="1"/>
    <col min="27" max="27" width="3.140625" style="3" customWidth="1"/>
    <col min="28" max="28" width="2" style="3" customWidth="1"/>
    <col min="29" max="29" width="9" style="3" customWidth="1"/>
    <col min="30" max="30" width="5.42578125" style="3" customWidth="1"/>
    <col min="31" max="31" width="7.7109375" style="4" bestFit="1" customWidth="1"/>
    <col min="32" max="32" width="8.42578125" style="4" bestFit="1" customWidth="1"/>
    <col min="33" max="33" width="86.42578125" style="4" bestFit="1" customWidth="1"/>
    <col min="34" max="34" width="7.42578125" style="4" bestFit="1" customWidth="1"/>
    <col min="35" max="190" width="9.140625" style="4"/>
    <col min="191" max="191" width="3.7109375" style="4" customWidth="1"/>
    <col min="192" max="192" width="5" style="4" customWidth="1"/>
    <col min="193" max="193" width="13" style="4" customWidth="1"/>
    <col min="194" max="194" width="10.85546875" style="4" customWidth="1"/>
    <col min="195" max="195" width="2.85546875" style="4" customWidth="1"/>
    <col min="196" max="196" width="12.42578125" style="4" customWidth="1"/>
    <col min="197" max="197" width="2.28515625" style="4" customWidth="1"/>
    <col min="198" max="198" width="8.5703125" style="4" customWidth="1"/>
    <col min="199" max="199" width="5.28515625" style="4" customWidth="1"/>
    <col min="200" max="200" width="7.140625" style="4" customWidth="1"/>
    <col min="201" max="201" width="0" style="4" hidden="1" customWidth="1"/>
    <col min="202" max="202" width="8.7109375" style="4" customWidth="1"/>
    <col min="203" max="203" width="3" style="4" customWidth="1"/>
    <col min="204" max="205" width="2" style="4" customWidth="1"/>
    <col min="206" max="206" width="2.42578125" style="4" customWidth="1"/>
    <col min="207" max="207" width="2.85546875" style="4" customWidth="1"/>
    <col min="208" max="208" width="3.140625" style="4" customWidth="1"/>
    <col min="209" max="209" width="7" style="4" customWidth="1"/>
    <col min="210" max="210" width="2.42578125" style="4" customWidth="1"/>
    <col min="211" max="211" width="2.7109375" style="4" customWidth="1"/>
    <col min="212" max="214" width="2" style="4" customWidth="1"/>
    <col min="215" max="215" width="2.5703125" style="4" customWidth="1"/>
    <col min="216" max="216" width="2.7109375" style="4" customWidth="1"/>
    <col min="217" max="217" width="2.28515625" style="4" customWidth="1"/>
    <col min="218" max="218" width="2" style="4" customWidth="1"/>
    <col min="219" max="219" width="3.140625" style="4" customWidth="1"/>
    <col min="220" max="220" width="2" style="4" customWidth="1"/>
    <col min="221" max="221" width="8.85546875" style="4" customWidth="1"/>
    <col min="222" max="222" width="5.42578125" style="4" customWidth="1"/>
    <col min="223" max="224" width="0" style="4" hidden="1" customWidth="1"/>
    <col min="225" max="225" width="7.28515625" style="4" customWidth="1"/>
    <col min="226" max="226" width="10.5703125" style="4" customWidth="1"/>
    <col min="227" max="227" width="10.7109375" style="4" bestFit="1" customWidth="1"/>
    <col min="228" max="228" width="10.140625" style="4" customWidth="1"/>
    <col min="229" max="229" width="11.28515625" style="4" customWidth="1"/>
    <col min="230" max="243" width="10.140625" style="4" customWidth="1"/>
    <col min="244" max="244" width="10.140625" style="4" bestFit="1" customWidth="1"/>
    <col min="245" max="446" width="9.140625" style="4"/>
    <col min="447" max="447" width="3.7109375" style="4" customWidth="1"/>
    <col min="448" max="448" width="5" style="4" customWidth="1"/>
    <col min="449" max="449" width="13" style="4" customWidth="1"/>
    <col min="450" max="450" width="10.85546875" style="4" customWidth="1"/>
    <col min="451" max="451" width="2.85546875" style="4" customWidth="1"/>
    <col min="452" max="452" width="12.42578125" style="4" customWidth="1"/>
    <col min="453" max="453" width="2.28515625" style="4" customWidth="1"/>
    <col min="454" max="454" width="8.5703125" style="4" customWidth="1"/>
    <col min="455" max="455" width="5.28515625" style="4" customWidth="1"/>
    <col min="456" max="456" width="7.140625" style="4" customWidth="1"/>
    <col min="457" max="457" width="0" style="4" hidden="1" customWidth="1"/>
    <col min="458" max="458" width="8.7109375" style="4" customWidth="1"/>
    <col min="459" max="459" width="3" style="4" customWidth="1"/>
    <col min="460" max="461" width="2" style="4" customWidth="1"/>
    <col min="462" max="462" width="2.42578125" style="4" customWidth="1"/>
    <col min="463" max="463" width="2.85546875" style="4" customWidth="1"/>
    <col min="464" max="464" width="3.140625" style="4" customWidth="1"/>
    <col min="465" max="465" width="7" style="4" customWidth="1"/>
    <col min="466" max="466" width="2.42578125" style="4" customWidth="1"/>
    <col min="467" max="467" width="2.7109375" style="4" customWidth="1"/>
    <col min="468" max="470" width="2" style="4" customWidth="1"/>
    <col min="471" max="471" width="2.5703125" style="4" customWidth="1"/>
    <col min="472" max="472" width="2.7109375" style="4" customWidth="1"/>
    <col min="473" max="473" width="2.28515625" style="4" customWidth="1"/>
    <col min="474" max="474" width="2" style="4" customWidth="1"/>
    <col min="475" max="475" width="3.140625" style="4" customWidth="1"/>
    <col min="476" max="476" width="2" style="4" customWidth="1"/>
    <col min="477" max="477" width="8.85546875" style="4" customWidth="1"/>
    <col min="478" max="478" width="5.42578125" style="4" customWidth="1"/>
    <col min="479" max="480" width="0" style="4" hidden="1" customWidth="1"/>
    <col min="481" max="481" width="7.28515625" style="4" customWidth="1"/>
    <col min="482" max="482" width="10.5703125" style="4" customWidth="1"/>
    <col min="483" max="483" width="10.7109375" style="4" bestFit="1" customWidth="1"/>
    <col min="484" max="484" width="10.140625" style="4" customWidth="1"/>
    <col min="485" max="485" width="11.28515625" style="4" customWidth="1"/>
    <col min="486" max="499" width="10.140625" style="4" customWidth="1"/>
    <col min="500" max="500" width="10.140625" style="4" bestFit="1" customWidth="1"/>
    <col min="501" max="702" width="9.140625" style="4"/>
    <col min="703" max="703" width="3.7109375" style="4" customWidth="1"/>
    <col min="704" max="704" width="5" style="4" customWidth="1"/>
    <col min="705" max="705" width="13" style="4" customWidth="1"/>
    <col min="706" max="706" width="10.85546875" style="4" customWidth="1"/>
    <col min="707" max="707" width="2.85546875" style="4" customWidth="1"/>
    <col min="708" max="708" width="12.42578125" style="4" customWidth="1"/>
    <col min="709" max="709" width="2.28515625" style="4" customWidth="1"/>
    <col min="710" max="710" width="8.5703125" style="4" customWidth="1"/>
    <col min="711" max="711" width="5.28515625" style="4" customWidth="1"/>
    <col min="712" max="712" width="7.140625" style="4" customWidth="1"/>
    <col min="713" max="713" width="0" style="4" hidden="1" customWidth="1"/>
    <col min="714" max="714" width="8.7109375" style="4" customWidth="1"/>
    <col min="715" max="715" width="3" style="4" customWidth="1"/>
    <col min="716" max="717" width="2" style="4" customWidth="1"/>
    <col min="718" max="718" width="2.42578125" style="4" customWidth="1"/>
    <col min="719" max="719" width="2.85546875" style="4" customWidth="1"/>
    <col min="720" max="720" width="3.140625" style="4" customWidth="1"/>
    <col min="721" max="721" width="7" style="4" customWidth="1"/>
    <col min="722" max="722" width="2.42578125" style="4" customWidth="1"/>
    <col min="723" max="723" width="2.7109375" style="4" customWidth="1"/>
    <col min="724" max="726" width="2" style="4" customWidth="1"/>
    <col min="727" max="727" width="2.5703125" style="4" customWidth="1"/>
    <col min="728" max="728" width="2.7109375" style="4" customWidth="1"/>
    <col min="729" max="729" width="2.28515625" style="4" customWidth="1"/>
    <col min="730" max="730" width="2" style="4" customWidth="1"/>
    <col min="731" max="731" width="3.140625" style="4" customWidth="1"/>
    <col min="732" max="732" width="2" style="4" customWidth="1"/>
    <col min="733" max="733" width="8.85546875" style="4" customWidth="1"/>
    <col min="734" max="734" width="5.42578125" style="4" customWidth="1"/>
    <col min="735" max="736" width="0" style="4" hidden="1" customWidth="1"/>
    <col min="737" max="737" width="7.28515625" style="4" customWidth="1"/>
    <col min="738" max="738" width="10.5703125" style="4" customWidth="1"/>
    <col min="739" max="739" width="10.7109375" style="4" bestFit="1" customWidth="1"/>
    <col min="740" max="740" width="10.140625" style="4" customWidth="1"/>
    <col min="741" max="741" width="11.28515625" style="4" customWidth="1"/>
    <col min="742" max="755" width="10.140625" style="4" customWidth="1"/>
    <col min="756" max="756" width="10.140625" style="4" bestFit="1" customWidth="1"/>
    <col min="757" max="958" width="9.140625" style="4"/>
    <col min="959" max="959" width="3.7109375" style="4" customWidth="1"/>
    <col min="960" max="960" width="5" style="4" customWidth="1"/>
    <col min="961" max="961" width="13" style="4" customWidth="1"/>
    <col min="962" max="962" width="10.85546875" style="4" customWidth="1"/>
    <col min="963" max="963" width="2.85546875" style="4" customWidth="1"/>
    <col min="964" max="964" width="12.42578125" style="4" customWidth="1"/>
    <col min="965" max="965" width="2.28515625" style="4" customWidth="1"/>
    <col min="966" max="966" width="8.5703125" style="4" customWidth="1"/>
    <col min="967" max="967" width="5.28515625" style="4" customWidth="1"/>
    <col min="968" max="968" width="7.140625" style="4" customWidth="1"/>
    <col min="969" max="969" width="0" style="4" hidden="1" customWidth="1"/>
    <col min="970" max="970" width="8.7109375" style="4" customWidth="1"/>
    <col min="971" max="971" width="3" style="4" customWidth="1"/>
    <col min="972" max="973" width="2" style="4" customWidth="1"/>
    <col min="974" max="974" width="2.42578125" style="4" customWidth="1"/>
    <col min="975" max="975" width="2.85546875" style="4" customWidth="1"/>
    <col min="976" max="976" width="3.140625" style="4" customWidth="1"/>
    <col min="977" max="977" width="7" style="4" customWidth="1"/>
    <col min="978" max="978" width="2.42578125" style="4" customWidth="1"/>
    <col min="979" max="979" width="2.7109375" style="4" customWidth="1"/>
    <col min="980" max="982" width="2" style="4" customWidth="1"/>
    <col min="983" max="983" width="2.5703125" style="4" customWidth="1"/>
    <col min="984" max="984" width="2.7109375" style="4" customWidth="1"/>
    <col min="985" max="985" width="2.28515625" style="4" customWidth="1"/>
    <col min="986" max="986" width="2" style="4" customWidth="1"/>
    <col min="987" max="987" width="3.140625" style="4" customWidth="1"/>
    <col min="988" max="988" width="2" style="4" customWidth="1"/>
    <col min="989" max="989" width="8.85546875" style="4" customWidth="1"/>
    <col min="990" max="990" width="5.42578125" style="4" customWidth="1"/>
    <col min="991" max="992" width="0" style="4" hidden="1" customWidth="1"/>
    <col min="993" max="993" width="7.28515625" style="4" customWidth="1"/>
    <col min="994" max="994" width="10.5703125" style="4" customWidth="1"/>
    <col min="995" max="995" width="10.7109375" style="4" bestFit="1" customWidth="1"/>
    <col min="996" max="996" width="10.140625" style="4" customWidth="1"/>
    <col min="997" max="997" width="11.28515625" style="4" customWidth="1"/>
    <col min="998" max="1011" width="10.140625" style="4" customWidth="1"/>
    <col min="1012" max="1012" width="10.140625" style="4" bestFit="1" customWidth="1"/>
    <col min="1013" max="1214" width="9.140625" style="4"/>
    <col min="1215" max="1215" width="3.7109375" style="4" customWidth="1"/>
    <col min="1216" max="1216" width="5" style="4" customWidth="1"/>
    <col min="1217" max="1217" width="13" style="4" customWidth="1"/>
    <col min="1218" max="1218" width="10.85546875" style="4" customWidth="1"/>
    <col min="1219" max="1219" width="2.85546875" style="4" customWidth="1"/>
    <col min="1220" max="1220" width="12.42578125" style="4" customWidth="1"/>
    <col min="1221" max="1221" width="2.28515625" style="4" customWidth="1"/>
    <col min="1222" max="1222" width="8.5703125" style="4" customWidth="1"/>
    <col min="1223" max="1223" width="5.28515625" style="4" customWidth="1"/>
    <col min="1224" max="1224" width="7.140625" style="4" customWidth="1"/>
    <col min="1225" max="1225" width="0" style="4" hidden="1" customWidth="1"/>
    <col min="1226" max="1226" width="8.7109375" style="4" customWidth="1"/>
    <col min="1227" max="1227" width="3" style="4" customWidth="1"/>
    <col min="1228" max="1229" width="2" style="4" customWidth="1"/>
    <col min="1230" max="1230" width="2.42578125" style="4" customWidth="1"/>
    <col min="1231" max="1231" width="2.85546875" style="4" customWidth="1"/>
    <col min="1232" max="1232" width="3.140625" style="4" customWidth="1"/>
    <col min="1233" max="1233" width="7" style="4" customWidth="1"/>
    <col min="1234" max="1234" width="2.42578125" style="4" customWidth="1"/>
    <col min="1235" max="1235" width="2.7109375" style="4" customWidth="1"/>
    <col min="1236" max="1238" width="2" style="4" customWidth="1"/>
    <col min="1239" max="1239" width="2.5703125" style="4" customWidth="1"/>
    <col min="1240" max="1240" width="2.7109375" style="4" customWidth="1"/>
    <col min="1241" max="1241" width="2.28515625" style="4" customWidth="1"/>
    <col min="1242" max="1242" width="2" style="4" customWidth="1"/>
    <col min="1243" max="1243" width="3.140625" style="4" customWidth="1"/>
    <col min="1244" max="1244" width="2" style="4" customWidth="1"/>
    <col min="1245" max="1245" width="8.85546875" style="4" customWidth="1"/>
    <col min="1246" max="1246" width="5.42578125" style="4" customWidth="1"/>
    <col min="1247" max="1248" width="0" style="4" hidden="1" customWidth="1"/>
    <col min="1249" max="1249" width="7.28515625" style="4" customWidth="1"/>
    <col min="1250" max="1250" width="10.5703125" style="4" customWidth="1"/>
    <col min="1251" max="1251" width="10.7109375" style="4" bestFit="1" customWidth="1"/>
    <col min="1252" max="1252" width="10.140625" style="4" customWidth="1"/>
    <col min="1253" max="1253" width="11.28515625" style="4" customWidth="1"/>
    <col min="1254" max="1267" width="10.140625" style="4" customWidth="1"/>
    <col min="1268" max="1268" width="10.140625" style="4" bestFit="1" customWidth="1"/>
    <col min="1269" max="1470" width="9.140625" style="4"/>
    <col min="1471" max="1471" width="3.7109375" style="4" customWidth="1"/>
    <col min="1472" max="1472" width="5" style="4" customWidth="1"/>
    <col min="1473" max="1473" width="13" style="4" customWidth="1"/>
    <col min="1474" max="1474" width="10.85546875" style="4" customWidth="1"/>
    <col min="1475" max="1475" width="2.85546875" style="4" customWidth="1"/>
    <col min="1476" max="1476" width="12.42578125" style="4" customWidth="1"/>
    <col min="1477" max="1477" width="2.28515625" style="4" customWidth="1"/>
    <col min="1478" max="1478" width="8.5703125" style="4" customWidth="1"/>
    <col min="1479" max="1479" width="5.28515625" style="4" customWidth="1"/>
    <col min="1480" max="1480" width="7.140625" style="4" customWidth="1"/>
    <col min="1481" max="1481" width="0" style="4" hidden="1" customWidth="1"/>
    <col min="1482" max="1482" width="8.7109375" style="4" customWidth="1"/>
    <col min="1483" max="1483" width="3" style="4" customWidth="1"/>
    <col min="1484" max="1485" width="2" style="4" customWidth="1"/>
    <col min="1486" max="1486" width="2.42578125" style="4" customWidth="1"/>
    <col min="1487" max="1487" width="2.85546875" style="4" customWidth="1"/>
    <col min="1488" max="1488" width="3.140625" style="4" customWidth="1"/>
    <col min="1489" max="1489" width="7" style="4" customWidth="1"/>
    <col min="1490" max="1490" width="2.42578125" style="4" customWidth="1"/>
    <col min="1491" max="1491" width="2.7109375" style="4" customWidth="1"/>
    <col min="1492" max="1494" width="2" style="4" customWidth="1"/>
    <col min="1495" max="1495" width="2.5703125" style="4" customWidth="1"/>
    <col min="1496" max="1496" width="2.7109375" style="4" customWidth="1"/>
    <col min="1497" max="1497" width="2.28515625" style="4" customWidth="1"/>
    <col min="1498" max="1498" width="2" style="4" customWidth="1"/>
    <col min="1499" max="1499" width="3.140625" style="4" customWidth="1"/>
    <col min="1500" max="1500" width="2" style="4" customWidth="1"/>
    <col min="1501" max="1501" width="8.85546875" style="4" customWidth="1"/>
    <col min="1502" max="1502" width="5.42578125" style="4" customWidth="1"/>
    <col min="1503" max="1504" width="0" style="4" hidden="1" customWidth="1"/>
    <col min="1505" max="1505" width="7.28515625" style="4" customWidth="1"/>
    <col min="1506" max="1506" width="10.5703125" style="4" customWidth="1"/>
    <col min="1507" max="1507" width="10.7109375" style="4" bestFit="1" customWidth="1"/>
    <col min="1508" max="1508" width="10.140625" style="4" customWidth="1"/>
    <col min="1509" max="1509" width="11.28515625" style="4" customWidth="1"/>
    <col min="1510" max="1523" width="10.140625" style="4" customWidth="1"/>
    <col min="1524" max="1524" width="10.140625" style="4" bestFit="1" customWidth="1"/>
    <col min="1525" max="1726" width="9.140625" style="4"/>
    <col min="1727" max="1727" width="3.7109375" style="4" customWidth="1"/>
    <col min="1728" max="1728" width="5" style="4" customWidth="1"/>
    <col min="1729" max="1729" width="13" style="4" customWidth="1"/>
    <col min="1730" max="1730" width="10.85546875" style="4" customWidth="1"/>
    <col min="1731" max="1731" width="2.85546875" style="4" customWidth="1"/>
    <col min="1732" max="1732" width="12.42578125" style="4" customWidth="1"/>
    <col min="1733" max="1733" width="2.28515625" style="4" customWidth="1"/>
    <col min="1734" max="1734" width="8.5703125" style="4" customWidth="1"/>
    <col min="1735" max="1735" width="5.28515625" style="4" customWidth="1"/>
    <col min="1736" max="1736" width="7.140625" style="4" customWidth="1"/>
    <col min="1737" max="1737" width="0" style="4" hidden="1" customWidth="1"/>
    <col min="1738" max="1738" width="8.7109375" style="4" customWidth="1"/>
    <col min="1739" max="1739" width="3" style="4" customWidth="1"/>
    <col min="1740" max="1741" width="2" style="4" customWidth="1"/>
    <col min="1742" max="1742" width="2.42578125" style="4" customWidth="1"/>
    <col min="1743" max="1743" width="2.85546875" style="4" customWidth="1"/>
    <col min="1744" max="1744" width="3.140625" style="4" customWidth="1"/>
    <col min="1745" max="1745" width="7" style="4" customWidth="1"/>
    <col min="1746" max="1746" width="2.42578125" style="4" customWidth="1"/>
    <col min="1747" max="1747" width="2.7109375" style="4" customWidth="1"/>
    <col min="1748" max="1750" width="2" style="4" customWidth="1"/>
    <col min="1751" max="1751" width="2.5703125" style="4" customWidth="1"/>
    <col min="1752" max="1752" width="2.7109375" style="4" customWidth="1"/>
    <col min="1753" max="1753" width="2.28515625" style="4" customWidth="1"/>
    <col min="1754" max="1754" width="2" style="4" customWidth="1"/>
    <col min="1755" max="1755" width="3.140625" style="4" customWidth="1"/>
    <col min="1756" max="1756" width="2" style="4" customWidth="1"/>
    <col min="1757" max="1757" width="8.85546875" style="4" customWidth="1"/>
    <col min="1758" max="1758" width="5.42578125" style="4" customWidth="1"/>
    <col min="1759" max="1760" width="0" style="4" hidden="1" customWidth="1"/>
    <col min="1761" max="1761" width="7.28515625" style="4" customWidth="1"/>
    <col min="1762" max="1762" width="10.5703125" style="4" customWidth="1"/>
    <col min="1763" max="1763" width="10.7109375" style="4" bestFit="1" customWidth="1"/>
    <col min="1764" max="1764" width="10.140625" style="4" customWidth="1"/>
    <col min="1765" max="1765" width="11.28515625" style="4" customWidth="1"/>
    <col min="1766" max="1779" width="10.140625" style="4" customWidth="1"/>
    <col min="1780" max="1780" width="10.140625" style="4" bestFit="1" customWidth="1"/>
    <col min="1781" max="1982" width="9.140625" style="4"/>
    <col min="1983" max="1983" width="3.7109375" style="4" customWidth="1"/>
    <col min="1984" max="1984" width="5" style="4" customWidth="1"/>
    <col min="1985" max="1985" width="13" style="4" customWidth="1"/>
    <col min="1986" max="1986" width="10.85546875" style="4" customWidth="1"/>
    <col min="1987" max="1987" width="2.85546875" style="4" customWidth="1"/>
    <col min="1988" max="1988" width="12.42578125" style="4" customWidth="1"/>
    <col min="1989" max="1989" width="2.28515625" style="4" customWidth="1"/>
    <col min="1990" max="1990" width="8.5703125" style="4" customWidth="1"/>
    <col min="1991" max="1991" width="5.28515625" style="4" customWidth="1"/>
    <col min="1992" max="1992" width="7.140625" style="4" customWidth="1"/>
    <col min="1993" max="1993" width="0" style="4" hidden="1" customWidth="1"/>
    <col min="1994" max="1994" width="8.7109375" style="4" customWidth="1"/>
    <col min="1995" max="1995" width="3" style="4" customWidth="1"/>
    <col min="1996" max="1997" width="2" style="4" customWidth="1"/>
    <col min="1998" max="1998" width="2.42578125" style="4" customWidth="1"/>
    <col min="1999" max="1999" width="2.85546875" style="4" customWidth="1"/>
    <col min="2000" max="2000" width="3.140625" style="4" customWidth="1"/>
    <col min="2001" max="2001" width="7" style="4" customWidth="1"/>
    <col min="2002" max="2002" width="2.42578125" style="4" customWidth="1"/>
    <col min="2003" max="2003" width="2.7109375" style="4" customWidth="1"/>
    <col min="2004" max="2006" width="2" style="4" customWidth="1"/>
    <col min="2007" max="2007" width="2.5703125" style="4" customWidth="1"/>
    <col min="2008" max="2008" width="2.7109375" style="4" customWidth="1"/>
    <col min="2009" max="2009" width="2.28515625" style="4" customWidth="1"/>
    <col min="2010" max="2010" width="2" style="4" customWidth="1"/>
    <col min="2011" max="2011" width="3.140625" style="4" customWidth="1"/>
    <col min="2012" max="2012" width="2" style="4" customWidth="1"/>
    <col min="2013" max="2013" width="8.85546875" style="4" customWidth="1"/>
    <col min="2014" max="2014" width="5.42578125" style="4" customWidth="1"/>
    <col min="2015" max="2016" width="0" style="4" hidden="1" customWidth="1"/>
    <col min="2017" max="2017" width="7.28515625" style="4" customWidth="1"/>
    <col min="2018" max="2018" width="10.5703125" style="4" customWidth="1"/>
    <col min="2019" max="2019" width="10.7109375" style="4" bestFit="1" customWidth="1"/>
    <col min="2020" max="2020" width="10.140625" style="4" customWidth="1"/>
    <col min="2021" max="2021" width="11.28515625" style="4" customWidth="1"/>
    <col min="2022" max="2035" width="10.140625" style="4" customWidth="1"/>
    <col min="2036" max="2036" width="10.140625" style="4" bestFit="1" customWidth="1"/>
    <col min="2037" max="2238" width="9.140625" style="4"/>
    <col min="2239" max="2239" width="3.7109375" style="4" customWidth="1"/>
    <col min="2240" max="2240" width="5" style="4" customWidth="1"/>
    <col min="2241" max="2241" width="13" style="4" customWidth="1"/>
    <col min="2242" max="2242" width="10.85546875" style="4" customWidth="1"/>
    <col min="2243" max="2243" width="2.85546875" style="4" customWidth="1"/>
    <col min="2244" max="2244" width="12.42578125" style="4" customWidth="1"/>
    <col min="2245" max="2245" width="2.28515625" style="4" customWidth="1"/>
    <col min="2246" max="2246" width="8.5703125" style="4" customWidth="1"/>
    <col min="2247" max="2247" width="5.28515625" style="4" customWidth="1"/>
    <col min="2248" max="2248" width="7.140625" style="4" customWidth="1"/>
    <col min="2249" max="2249" width="0" style="4" hidden="1" customWidth="1"/>
    <col min="2250" max="2250" width="8.7109375" style="4" customWidth="1"/>
    <col min="2251" max="2251" width="3" style="4" customWidth="1"/>
    <col min="2252" max="2253" width="2" style="4" customWidth="1"/>
    <col min="2254" max="2254" width="2.42578125" style="4" customWidth="1"/>
    <col min="2255" max="2255" width="2.85546875" style="4" customWidth="1"/>
    <col min="2256" max="2256" width="3.140625" style="4" customWidth="1"/>
    <col min="2257" max="2257" width="7" style="4" customWidth="1"/>
    <col min="2258" max="2258" width="2.42578125" style="4" customWidth="1"/>
    <col min="2259" max="2259" width="2.7109375" style="4" customWidth="1"/>
    <col min="2260" max="2262" width="2" style="4" customWidth="1"/>
    <col min="2263" max="2263" width="2.5703125" style="4" customWidth="1"/>
    <col min="2264" max="2264" width="2.7109375" style="4" customWidth="1"/>
    <col min="2265" max="2265" width="2.28515625" style="4" customWidth="1"/>
    <col min="2266" max="2266" width="2" style="4" customWidth="1"/>
    <col min="2267" max="2267" width="3.140625" style="4" customWidth="1"/>
    <col min="2268" max="2268" width="2" style="4" customWidth="1"/>
    <col min="2269" max="2269" width="8.85546875" style="4" customWidth="1"/>
    <col min="2270" max="2270" width="5.42578125" style="4" customWidth="1"/>
    <col min="2271" max="2272" width="0" style="4" hidden="1" customWidth="1"/>
    <col min="2273" max="2273" width="7.28515625" style="4" customWidth="1"/>
    <col min="2274" max="2274" width="10.5703125" style="4" customWidth="1"/>
    <col min="2275" max="2275" width="10.7109375" style="4" bestFit="1" customWidth="1"/>
    <col min="2276" max="2276" width="10.140625" style="4" customWidth="1"/>
    <col min="2277" max="2277" width="11.28515625" style="4" customWidth="1"/>
    <col min="2278" max="2291" width="10.140625" style="4" customWidth="1"/>
    <col min="2292" max="2292" width="10.140625" style="4" bestFit="1" customWidth="1"/>
    <col min="2293" max="2494" width="9.140625" style="4"/>
    <col min="2495" max="2495" width="3.7109375" style="4" customWidth="1"/>
    <col min="2496" max="2496" width="5" style="4" customWidth="1"/>
    <col min="2497" max="2497" width="13" style="4" customWidth="1"/>
    <col min="2498" max="2498" width="10.85546875" style="4" customWidth="1"/>
    <col min="2499" max="2499" width="2.85546875" style="4" customWidth="1"/>
    <col min="2500" max="2500" width="12.42578125" style="4" customWidth="1"/>
    <col min="2501" max="2501" width="2.28515625" style="4" customWidth="1"/>
    <col min="2502" max="2502" width="8.5703125" style="4" customWidth="1"/>
    <col min="2503" max="2503" width="5.28515625" style="4" customWidth="1"/>
    <col min="2504" max="2504" width="7.140625" style="4" customWidth="1"/>
    <col min="2505" max="2505" width="0" style="4" hidden="1" customWidth="1"/>
    <col min="2506" max="2506" width="8.7109375" style="4" customWidth="1"/>
    <col min="2507" max="2507" width="3" style="4" customWidth="1"/>
    <col min="2508" max="2509" width="2" style="4" customWidth="1"/>
    <col min="2510" max="2510" width="2.42578125" style="4" customWidth="1"/>
    <col min="2511" max="2511" width="2.85546875" style="4" customWidth="1"/>
    <col min="2512" max="2512" width="3.140625" style="4" customWidth="1"/>
    <col min="2513" max="2513" width="7" style="4" customWidth="1"/>
    <col min="2514" max="2514" width="2.42578125" style="4" customWidth="1"/>
    <col min="2515" max="2515" width="2.7109375" style="4" customWidth="1"/>
    <col min="2516" max="2518" width="2" style="4" customWidth="1"/>
    <col min="2519" max="2519" width="2.5703125" style="4" customWidth="1"/>
    <col min="2520" max="2520" width="2.7109375" style="4" customWidth="1"/>
    <col min="2521" max="2521" width="2.28515625" style="4" customWidth="1"/>
    <col min="2522" max="2522" width="2" style="4" customWidth="1"/>
    <col min="2523" max="2523" width="3.140625" style="4" customWidth="1"/>
    <col min="2524" max="2524" width="2" style="4" customWidth="1"/>
    <col min="2525" max="2525" width="8.85546875" style="4" customWidth="1"/>
    <col min="2526" max="2526" width="5.42578125" style="4" customWidth="1"/>
    <col min="2527" max="2528" width="0" style="4" hidden="1" customWidth="1"/>
    <col min="2529" max="2529" width="7.28515625" style="4" customWidth="1"/>
    <col min="2530" max="2530" width="10.5703125" style="4" customWidth="1"/>
    <col min="2531" max="2531" width="10.7109375" style="4" bestFit="1" customWidth="1"/>
    <col min="2532" max="2532" width="10.140625" style="4" customWidth="1"/>
    <col min="2533" max="2533" width="11.28515625" style="4" customWidth="1"/>
    <col min="2534" max="2547" width="10.140625" style="4" customWidth="1"/>
    <col min="2548" max="2548" width="10.140625" style="4" bestFit="1" customWidth="1"/>
    <col min="2549" max="2750" width="9.140625" style="4"/>
    <col min="2751" max="2751" width="3.7109375" style="4" customWidth="1"/>
    <col min="2752" max="2752" width="5" style="4" customWidth="1"/>
    <col min="2753" max="2753" width="13" style="4" customWidth="1"/>
    <col min="2754" max="2754" width="10.85546875" style="4" customWidth="1"/>
    <col min="2755" max="2755" width="2.85546875" style="4" customWidth="1"/>
    <col min="2756" max="2756" width="12.42578125" style="4" customWidth="1"/>
    <col min="2757" max="2757" width="2.28515625" style="4" customWidth="1"/>
    <col min="2758" max="2758" width="8.5703125" style="4" customWidth="1"/>
    <col min="2759" max="2759" width="5.28515625" style="4" customWidth="1"/>
    <col min="2760" max="2760" width="7.140625" style="4" customWidth="1"/>
    <col min="2761" max="2761" width="0" style="4" hidden="1" customWidth="1"/>
    <col min="2762" max="2762" width="8.7109375" style="4" customWidth="1"/>
    <col min="2763" max="2763" width="3" style="4" customWidth="1"/>
    <col min="2764" max="2765" width="2" style="4" customWidth="1"/>
    <col min="2766" max="2766" width="2.42578125" style="4" customWidth="1"/>
    <col min="2767" max="2767" width="2.85546875" style="4" customWidth="1"/>
    <col min="2768" max="2768" width="3.140625" style="4" customWidth="1"/>
    <col min="2769" max="2769" width="7" style="4" customWidth="1"/>
    <col min="2770" max="2770" width="2.42578125" style="4" customWidth="1"/>
    <col min="2771" max="2771" width="2.7109375" style="4" customWidth="1"/>
    <col min="2772" max="2774" width="2" style="4" customWidth="1"/>
    <col min="2775" max="2775" width="2.5703125" style="4" customWidth="1"/>
    <col min="2776" max="2776" width="2.7109375" style="4" customWidth="1"/>
    <col min="2777" max="2777" width="2.28515625" style="4" customWidth="1"/>
    <col min="2778" max="2778" width="2" style="4" customWidth="1"/>
    <col min="2779" max="2779" width="3.140625" style="4" customWidth="1"/>
    <col min="2780" max="2780" width="2" style="4" customWidth="1"/>
    <col min="2781" max="2781" width="8.85546875" style="4" customWidth="1"/>
    <col min="2782" max="2782" width="5.42578125" style="4" customWidth="1"/>
    <col min="2783" max="2784" width="0" style="4" hidden="1" customWidth="1"/>
    <col min="2785" max="2785" width="7.28515625" style="4" customWidth="1"/>
    <col min="2786" max="2786" width="10.5703125" style="4" customWidth="1"/>
    <col min="2787" max="2787" width="10.7109375" style="4" bestFit="1" customWidth="1"/>
    <col min="2788" max="2788" width="10.140625" style="4" customWidth="1"/>
    <col min="2789" max="2789" width="11.28515625" style="4" customWidth="1"/>
    <col min="2790" max="2803" width="10.140625" style="4" customWidth="1"/>
    <col min="2804" max="2804" width="10.140625" style="4" bestFit="1" customWidth="1"/>
    <col min="2805" max="3006" width="9.140625" style="4"/>
    <col min="3007" max="3007" width="3.7109375" style="4" customWidth="1"/>
    <col min="3008" max="3008" width="5" style="4" customWidth="1"/>
    <col min="3009" max="3009" width="13" style="4" customWidth="1"/>
    <col min="3010" max="3010" width="10.85546875" style="4" customWidth="1"/>
    <col min="3011" max="3011" width="2.85546875" style="4" customWidth="1"/>
    <col min="3012" max="3012" width="12.42578125" style="4" customWidth="1"/>
    <col min="3013" max="3013" width="2.28515625" style="4" customWidth="1"/>
    <col min="3014" max="3014" width="8.5703125" style="4" customWidth="1"/>
    <col min="3015" max="3015" width="5.28515625" style="4" customWidth="1"/>
    <col min="3016" max="3016" width="7.140625" style="4" customWidth="1"/>
    <col min="3017" max="3017" width="0" style="4" hidden="1" customWidth="1"/>
    <col min="3018" max="3018" width="8.7109375" style="4" customWidth="1"/>
    <col min="3019" max="3019" width="3" style="4" customWidth="1"/>
    <col min="3020" max="3021" width="2" style="4" customWidth="1"/>
    <col min="3022" max="3022" width="2.42578125" style="4" customWidth="1"/>
    <col min="3023" max="3023" width="2.85546875" style="4" customWidth="1"/>
    <col min="3024" max="3024" width="3.140625" style="4" customWidth="1"/>
    <col min="3025" max="3025" width="7" style="4" customWidth="1"/>
    <col min="3026" max="3026" width="2.42578125" style="4" customWidth="1"/>
    <col min="3027" max="3027" width="2.7109375" style="4" customWidth="1"/>
    <col min="3028" max="3030" width="2" style="4" customWidth="1"/>
    <col min="3031" max="3031" width="2.5703125" style="4" customWidth="1"/>
    <col min="3032" max="3032" width="2.7109375" style="4" customWidth="1"/>
    <col min="3033" max="3033" width="2.28515625" style="4" customWidth="1"/>
    <col min="3034" max="3034" width="2" style="4" customWidth="1"/>
    <col min="3035" max="3035" width="3.140625" style="4" customWidth="1"/>
    <col min="3036" max="3036" width="2" style="4" customWidth="1"/>
    <col min="3037" max="3037" width="8.85546875" style="4" customWidth="1"/>
    <col min="3038" max="3038" width="5.42578125" style="4" customWidth="1"/>
    <col min="3039" max="3040" width="0" style="4" hidden="1" customWidth="1"/>
    <col min="3041" max="3041" width="7.28515625" style="4" customWidth="1"/>
    <col min="3042" max="3042" width="10.5703125" style="4" customWidth="1"/>
    <col min="3043" max="3043" width="10.7109375" style="4" bestFit="1" customWidth="1"/>
    <col min="3044" max="3044" width="10.140625" style="4" customWidth="1"/>
    <col min="3045" max="3045" width="11.28515625" style="4" customWidth="1"/>
    <col min="3046" max="3059" width="10.140625" style="4" customWidth="1"/>
    <col min="3060" max="3060" width="10.140625" style="4" bestFit="1" customWidth="1"/>
    <col min="3061" max="3262" width="9.140625" style="4"/>
    <col min="3263" max="3263" width="3.7109375" style="4" customWidth="1"/>
    <col min="3264" max="3264" width="5" style="4" customWidth="1"/>
    <col min="3265" max="3265" width="13" style="4" customWidth="1"/>
    <col min="3266" max="3266" width="10.85546875" style="4" customWidth="1"/>
    <col min="3267" max="3267" width="2.85546875" style="4" customWidth="1"/>
    <col min="3268" max="3268" width="12.42578125" style="4" customWidth="1"/>
    <col min="3269" max="3269" width="2.28515625" style="4" customWidth="1"/>
    <col min="3270" max="3270" width="8.5703125" style="4" customWidth="1"/>
    <col min="3271" max="3271" width="5.28515625" style="4" customWidth="1"/>
    <col min="3272" max="3272" width="7.140625" style="4" customWidth="1"/>
    <col min="3273" max="3273" width="0" style="4" hidden="1" customWidth="1"/>
    <col min="3274" max="3274" width="8.7109375" style="4" customWidth="1"/>
    <col min="3275" max="3275" width="3" style="4" customWidth="1"/>
    <col min="3276" max="3277" width="2" style="4" customWidth="1"/>
    <col min="3278" max="3278" width="2.42578125" style="4" customWidth="1"/>
    <col min="3279" max="3279" width="2.85546875" style="4" customWidth="1"/>
    <col min="3280" max="3280" width="3.140625" style="4" customWidth="1"/>
    <col min="3281" max="3281" width="7" style="4" customWidth="1"/>
    <col min="3282" max="3282" width="2.42578125" style="4" customWidth="1"/>
    <col min="3283" max="3283" width="2.7109375" style="4" customWidth="1"/>
    <col min="3284" max="3286" width="2" style="4" customWidth="1"/>
    <col min="3287" max="3287" width="2.5703125" style="4" customWidth="1"/>
    <col min="3288" max="3288" width="2.7109375" style="4" customWidth="1"/>
    <col min="3289" max="3289" width="2.28515625" style="4" customWidth="1"/>
    <col min="3290" max="3290" width="2" style="4" customWidth="1"/>
    <col min="3291" max="3291" width="3.140625" style="4" customWidth="1"/>
    <col min="3292" max="3292" width="2" style="4" customWidth="1"/>
    <col min="3293" max="3293" width="8.85546875" style="4" customWidth="1"/>
    <col min="3294" max="3294" width="5.42578125" style="4" customWidth="1"/>
    <col min="3295" max="3296" width="0" style="4" hidden="1" customWidth="1"/>
    <col min="3297" max="3297" width="7.28515625" style="4" customWidth="1"/>
    <col min="3298" max="3298" width="10.5703125" style="4" customWidth="1"/>
    <col min="3299" max="3299" width="10.7109375" style="4" bestFit="1" customWidth="1"/>
    <col min="3300" max="3300" width="10.140625" style="4" customWidth="1"/>
    <col min="3301" max="3301" width="11.28515625" style="4" customWidth="1"/>
    <col min="3302" max="3315" width="10.140625" style="4" customWidth="1"/>
    <col min="3316" max="3316" width="10.140625" style="4" bestFit="1" customWidth="1"/>
    <col min="3317" max="3518" width="9.140625" style="4"/>
    <col min="3519" max="3519" width="3.7109375" style="4" customWidth="1"/>
    <col min="3520" max="3520" width="5" style="4" customWidth="1"/>
    <col min="3521" max="3521" width="13" style="4" customWidth="1"/>
    <col min="3522" max="3522" width="10.85546875" style="4" customWidth="1"/>
    <col min="3523" max="3523" width="2.85546875" style="4" customWidth="1"/>
    <col min="3524" max="3524" width="12.42578125" style="4" customWidth="1"/>
    <col min="3525" max="3525" width="2.28515625" style="4" customWidth="1"/>
    <col min="3526" max="3526" width="8.5703125" style="4" customWidth="1"/>
    <col min="3527" max="3527" width="5.28515625" style="4" customWidth="1"/>
    <col min="3528" max="3528" width="7.140625" style="4" customWidth="1"/>
    <col min="3529" max="3529" width="0" style="4" hidden="1" customWidth="1"/>
    <col min="3530" max="3530" width="8.7109375" style="4" customWidth="1"/>
    <col min="3531" max="3531" width="3" style="4" customWidth="1"/>
    <col min="3532" max="3533" width="2" style="4" customWidth="1"/>
    <col min="3534" max="3534" width="2.42578125" style="4" customWidth="1"/>
    <col min="3535" max="3535" width="2.85546875" style="4" customWidth="1"/>
    <col min="3536" max="3536" width="3.140625" style="4" customWidth="1"/>
    <col min="3537" max="3537" width="7" style="4" customWidth="1"/>
    <col min="3538" max="3538" width="2.42578125" style="4" customWidth="1"/>
    <col min="3539" max="3539" width="2.7109375" style="4" customWidth="1"/>
    <col min="3540" max="3542" width="2" style="4" customWidth="1"/>
    <col min="3543" max="3543" width="2.5703125" style="4" customWidth="1"/>
    <col min="3544" max="3544" width="2.7109375" style="4" customWidth="1"/>
    <col min="3545" max="3545" width="2.28515625" style="4" customWidth="1"/>
    <col min="3546" max="3546" width="2" style="4" customWidth="1"/>
    <col min="3547" max="3547" width="3.140625" style="4" customWidth="1"/>
    <col min="3548" max="3548" width="2" style="4" customWidth="1"/>
    <col min="3549" max="3549" width="8.85546875" style="4" customWidth="1"/>
    <col min="3550" max="3550" width="5.42578125" style="4" customWidth="1"/>
    <col min="3551" max="3552" width="0" style="4" hidden="1" customWidth="1"/>
    <col min="3553" max="3553" width="7.28515625" style="4" customWidth="1"/>
    <col min="3554" max="3554" width="10.5703125" style="4" customWidth="1"/>
    <col min="3555" max="3555" width="10.7109375" style="4" bestFit="1" customWidth="1"/>
    <col min="3556" max="3556" width="10.140625" style="4" customWidth="1"/>
    <col min="3557" max="3557" width="11.28515625" style="4" customWidth="1"/>
    <col min="3558" max="3571" width="10.140625" style="4" customWidth="1"/>
    <col min="3572" max="3572" width="10.140625" style="4" bestFit="1" customWidth="1"/>
    <col min="3573" max="3774" width="9.140625" style="4"/>
    <col min="3775" max="3775" width="3.7109375" style="4" customWidth="1"/>
    <col min="3776" max="3776" width="5" style="4" customWidth="1"/>
    <col min="3777" max="3777" width="13" style="4" customWidth="1"/>
    <col min="3778" max="3778" width="10.85546875" style="4" customWidth="1"/>
    <col min="3779" max="3779" width="2.85546875" style="4" customWidth="1"/>
    <col min="3780" max="3780" width="12.42578125" style="4" customWidth="1"/>
    <col min="3781" max="3781" width="2.28515625" style="4" customWidth="1"/>
    <col min="3782" max="3782" width="8.5703125" style="4" customWidth="1"/>
    <col min="3783" max="3783" width="5.28515625" style="4" customWidth="1"/>
    <col min="3784" max="3784" width="7.140625" style="4" customWidth="1"/>
    <col min="3785" max="3785" width="0" style="4" hidden="1" customWidth="1"/>
    <col min="3786" max="3786" width="8.7109375" style="4" customWidth="1"/>
    <col min="3787" max="3787" width="3" style="4" customWidth="1"/>
    <col min="3788" max="3789" width="2" style="4" customWidth="1"/>
    <col min="3790" max="3790" width="2.42578125" style="4" customWidth="1"/>
    <col min="3791" max="3791" width="2.85546875" style="4" customWidth="1"/>
    <col min="3792" max="3792" width="3.140625" style="4" customWidth="1"/>
    <col min="3793" max="3793" width="7" style="4" customWidth="1"/>
    <col min="3794" max="3794" width="2.42578125" style="4" customWidth="1"/>
    <col min="3795" max="3795" width="2.7109375" style="4" customWidth="1"/>
    <col min="3796" max="3798" width="2" style="4" customWidth="1"/>
    <col min="3799" max="3799" width="2.5703125" style="4" customWidth="1"/>
    <col min="3800" max="3800" width="2.7109375" style="4" customWidth="1"/>
    <col min="3801" max="3801" width="2.28515625" style="4" customWidth="1"/>
    <col min="3802" max="3802" width="2" style="4" customWidth="1"/>
    <col min="3803" max="3803" width="3.140625" style="4" customWidth="1"/>
    <col min="3804" max="3804" width="2" style="4" customWidth="1"/>
    <col min="3805" max="3805" width="8.85546875" style="4" customWidth="1"/>
    <col min="3806" max="3806" width="5.42578125" style="4" customWidth="1"/>
    <col min="3807" max="3808" width="0" style="4" hidden="1" customWidth="1"/>
    <col min="3809" max="3809" width="7.28515625" style="4" customWidth="1"/>
    <col min="3810" max="3810" width="10.5703125" style="4" customWidth="1"/>
    <col min="3811" max="3811" width="10.7109375" style="4" bestFit="1" customWidth="1"/>
    <col min="3812" max="3812" width="10.140625" style="4" customWidth="1"/>
    <col min="3813" max="3813" width="11.28515625" style="4" customWidth="1"/>
    <col min="3814" max="3827" width="10.140625" style="4" customWidth="1"/>
    <col min="3828" max="3828" width="10.140625" style="4" bestFit="1" customWidth="1"/>
    <col min="3829" max="4030" width="9.140625" style="4"/>
    <col min="4031" max="4031" width="3.7109375" style="4" customWidth="1"/>
    <col min="4032" max="4032" width="5" style="4" customWidth="1"/>
    <col min="4033" max="4033" width="13" style="4" customWidth="1"/>
    <col min="4034" max="4034" width="10.85546875" style="4" customWidth="1"/>
    <col min="4035" max="4035" width="2.85546875" style="4" customWidth="1"/>
    <col min="4036" max="4036" width="12.42578125" style="4" customWidth="1"/>
    <col min="4037" max="4037" width="2.28515625" style="4" customWidth="1"/>
    <col min="4038" max="4038" width="8.5703125" style="4" customWidth="1"/>
    <col min="4039" max="4039" width="5.28515625" style="4" customWidth="1"/>
    <col min="4040" max="4040" width="7.140625" style="4" customWidth="1"/>
    <col min="4041" max="4041" width="0" style="4" hidden="1" customWidth="1"/>
    <col min="4042" max="4042" width="8.7109375" style="4" customWidth="1"/>
    <col min="4043" max="4043" width="3" style="4" customWidth="1"/>
    <col min="4044" max="4045" width="2" style="4" customWidth="1"/>
    <col min="4046" max="4046" width="2.42578125" style="4" customWidth="1"/>
    <col min="4047" max="4047" width="2.85546875" style="4" customWidth="1"/>
    <col min="4048" max="4048" width="3.140625" style="4" customWidth="1"/>
    <col min="4049" max="4049" width="7" style="4" customWidth="1"/>
    <col min="4050" max="4050" width="2.42578125" style="4" customWidth="1"/>
    <col min="4051" max="4051" width="2.7109375" style="4" customWidth="1"/>
    <col min="4052" max="4054" width="2" style="4" customWidth="1"/>
    <col min="4055" max="4055" width="2.5703125" style="4" customWidth="1"/>
    <col min="4056" max="4056" width="2.7109375" style="4" customWidth="1"/>
    <col min="4057" max="4057" width="2.28515625" style="4" customWidth="1"/>
    <col min="4058" max="4058" width="2" style="4" customWidth="1"/>
    <col min="4059" max="4059" width="3.140625" style="4" customWidth="1"/>
    <col min="4060" max="4060" width="2" style="4" customWidth="1"/>
    <col min="4061" max="4061" width="8.85546875" style="4" customWidth="1"/>
    <col min="4062" max="4062" width="5.42578125" style="4" customWidth="1"/>
    <col min="4063" max="4064" width="0" style="4" hidden="1" customWidth="1"/>
    <col min="4065" max="4065" width="7.28515625" style="4" customWidth="1"/>
    <col min="4066" max="4066" width="10.5703125" style="4" customWidth="1"/>
    <col min="4067" max="4067" width="10.7109375" style="4" bestFit="1" customWidth="1"/>
    <col min="4068" max="4068" width="10.140625" style="4" customWidth="1"/>
    <col min="4069" max="4069" width="11.28515625" style="4" customWidth="1"/>
    <col min="4070" max="4083" width="10.140625" style="4" customWidth="1"/>
    <col min="4084" max="4084" width="10.140625" style="4" bestFit="1" customWidth="1"/>
    <col min="4085" max="4286" width="9.140625" style="4"/>
    <col min="4287" max="4287" width="3.7109375" style="4" customWidth="1"/>
    <col min="4288" max="4288" width="5" style="4" customWidth="1"/>
    <col min="4289" max="4289" width="13" style="4" customWidth="1"/>
    <col min="4290" max="4290" width="10.85546875" style="4" customWidth="1"/>
    <col min="4291" max="4291" width="2.85546875" style="4" customWidth="1"/>
    <col min="4292" max="4292" width="12.42578125" style="4" customWidth="1"/>
    <col min="4293" max="4293" width="2.28515625" style="4" customWidth="1"/>
    <col min="4294" max="4294" width="8.5703125" style="4" customWidth="1"/>
    <col min="4295" max="4295" width="5.28515625" style="4" customWidth="1"/>
    <col min="4296" max="4296" width="7.140625" style="4" customWidth="1"/>
    <col min="4297" max="4297" width="0" style="4" hidden="1" customWidth="1"/>
    <col min="4298" max="4298" width="8.7109375" style="4" customWidth="1"/>
    <col min="4299" max="4299" width="3" style="4" customWidth="1"/>
    <col min="4300" max="4301" width="2" style="4" customWidth="1"/>
    <col min="4302" max="4302" width="2.42578125" style="4" customWidth="1"/>
    <col min="4303" max="4303" width="2.85546875" style="4" customWidth="1"/>
    <col min="4304" max="4304" width="3.140625" style="4" customWidth="1"/>
    <col min="4305" max="4305" width="7" style="4" customWidth="1"/>
    <col min="4306" max="4306" width="2.42578125" style="4" customWidth="1"/>
    <col min="4307" max="4307" width="2.7109375" style="4" customWidth="1"/>
    <col min="4308" max="4310" width="2" style="4" customWidth="1"/>
    <col min="4311" max="4311" width="2.5703125" style="4" customWidth="1"/>
    <col min="4312" max="4312" width="2.7109375" style="4" customWidth="1"/>
    <col min="4313" max="4313" width="2.28515625" style="4" customWidth="1"/>
    <col min="4314" max="4314" width="2" style="4" customWidth="1"/>
    <col min="4315" max="4315" width="3.140625" style="4" customWidth="1"/>
    <col min="4316" max="4316" width="2" style="4" customWidth="1"/>
    <col min="4317" max="4317" width="8.85546875" style="4" customWidth="1"/>
    <col min="4318" max="4318" width="5.42578125" style="4" customWidth="1"/>
    <col min="4319" max="4320" width="0" style="4" hidden="1" customWidth="1"/>
    <col min="4321" max="4321" width="7.28515625" style="4" customWidth="1"/>
    <col min="4322" max="4322" width="10.5703125" style="4" customWidth="1"/>
    <col min="4323" max="4323" width="10.7109375" style="4" bestFit="1" customWidth="1"/>
    <col min="4324" max="4324" width="10.140625" style="4" customWidth="1"/>
    <col min="4325" max="4325" width="11.28515625" style="4" customWidth="1"/>
    <col min="4326" max="4339" width="10.140625" style="4" customWidth="1"/>
    <col min="4340" max="4340" width="10.140625" style="4" bestFit="1" customWidth="1"/>
    <col min="4341" max="4542" width="9.140625" style="4"/>
    <col min="4543" max="4543" width="3.7109375" style="4" customWidth="1"/>
    <col min="4544" max="4544" width="5" style="4" customWidth="1"/>
    <col min="4545" max="4545" width="13" style="4" customWidth="1"/>
    <col min="4546" max="4546" width="10.85546875" style="4" customWidth="1"/>
    <col min="4547" max="4547" width="2.85546875" style="4" customWidth="1"/>
    <col min="4548" max="4548" width="12.42578125" style="4" customWidth="1"/>
    <col min="4549" max="4549" width="2.28515625" style="4" customWidth="1"/>
    <col min="4550" max="4550" width="8.5703125" style="4" customWidth="1"/>
    <col min="4551" max="4551" width="5.28515625" style="4" customWidth="1"/>
    <col min="4552" max="4552" width="7.140625" style="4" customWidth="1"/>
    <col min="4553" max="4553" width="0" style="4" hidden="1" customWidth="1"/>
    <col min="4554" max="4554" width="8.7109375" style="4" customWidth="1"/>
    <col min="4555" max="4555" width="3" style="4" customWidth="1"/>
    <col min="4556" max="4557" width="2" style="4" customWidth="1"/>
    <col min="4558" max="4558" width="2.42578125" style="4" customWidth="1"/>
    <col min="4559" max="4559" width="2.85546875" style="4" customWidth="1"/>
    <col min="4560" max="4560" width="3.140625" style="4" customWidth="1"/>
    <col min="4561" max="4561" width="7" style="4" customWidth="1"/>
    <col min="4562" max="4562" width="2.42578125" style="4" customWidth="1"/>
    <col min="4563" max="4563" width="2.7109375" style="4" customWidth="1"/>
    <col min="4564" max="4566" width="2" style="4" customWidth="1"/>
    <col min="4567" max="4567" width="2.5703125" style="4" customWidth="1"/>
    <col min="4568" max="4568" width="2.7109375" style="4" customWidth="1"/>
    <col min="4569" max="4569" width="2.28515625" style="4" customWidth="1"/>
    <col min="4570" max="4570" width="2" style="4" customWidth="1"/>
    <col min="4571" max="4571" width="3.140625" style="4" customWidth="1"/>
    <col min="4572" max="4572" width="2" style="4" customWidth="1"/>
    <col min="4573" max="4573" width="8.85546875" style="4" customWidth="1"/>
    <col min="4574" max="4574" width="5.42578125" style="4" customWidth="1"/>
    <col min="4575" max="4576" width="0" style="4" hidden="1" customWidth="1"/>
    <col min="4577" max="4577" width="7.28515625" style="4" customWidth="1"/>
    <col min="4578" max="4578" width="10.5703125" style="4" customWidth="1"/>
    <col min="4579" max="4579" width="10.7109375" style="4" bestFit="1" customWidth="1"/>
    <col min="4580" max="4580" width="10.140625" style="4" customWidth="1"/>
    <col min="4581" max="4581" width="11.28515625" style="4" customWidth="1"/>
    <col min="4582" max="4595" width="10.140625" style="4" customWidth="1"/>
    <col min="4596" max="4596" width="10.140625" style="4" bestFit="1" customWidth="1"/>
    <col min="4597" max="4798" width="9.140625" style="4"/>
    <col min="4799" max="4799" width="3.7109375" style="4" customWidth="1"/>
    <col min="4800" max="4800" width="5" style="4" customWidth="1"/>
    <col min="4801" max="4801" width="13" style="4" customWidth="1"/>
    <col min="4802" max="4802" width="10.85546875" style="4" customWidth="1"/>
    <col min="4803" max="4803" width="2.85546875" style="4" customWidth="1"/>
    <col min="4804" max="4804" width="12.42578125" style="4" customWidth="1"/>
    <col min="4805" max="4805" width="2.28515625" style="4" customWidth="1"/>
    <col min="4806" max="4806" width="8.5703125" style="4" customWidth="1"/>
    <col min="4807" max="4807" width="5.28515625" style="4" customWidth="1"/>
    <col min="4808" max="4808" width="7.140625" style="4" customWidth="1"/>
    <col min="4809" max="4809" width="0" style="4" hidden="1" customWidth="1"/>
    <col min="4810" max="4810" width="8.7109375" style="4" customWidth="1"/>
    <col min="4811" max="4811" width="3" style="4" customWidth="1"/>
    <col min="4812" max="4813" width="2" style="4" customWidth="1"/>
    <col min="4814" max="4814" width="2.42578125" style="4" customWidth="1"/>
    <col min="4815" max="4815" width="2.85546875" style="4" customWidth="1"/>
    <col min="4816" max="4816" width="3.140625" style="4" customWidth="1"/>
    <col min="4817" max="4817" width="7" style="4" customWidth="1"/>
    <col min="4818" max="4818" width="2.42578125" style="4" customWidth="1"/>
    <col min="4819" max="4819" width="2.7109375" style="4" customWidth="1"/>
    <col min="4820" max="4822" width="2" style="4" customWidth="1"/>
    <col min="4823" max="4823" width="2.5703125" style="4" customWidth="1"/>
    <col min="4824" max="4824" width="2.7109375" style="4" customWidth="1"/>
    <col min="4825" max="4825" width="2.28515625" style="4" customWidth="1"/>
    <col min="4826" max="4826" width="2" style="4" customWidth="1"/>
    <col min="4827" max="4827" width="3.140625" style="4" customWidth="1"/>
    <col min="4828" max="4828" width="2" style="4" customWidth="1"/>
    <col min="4829" max="4829" width="8.85546875" style="4" customWidth="1"/>
    <col min="4830" max="4830" width="5.42578125" style="4" customWidth="1"/>
    <col min="4831" max="4832" width="0" style="4" hidden="1" customWidth="1"/>
    <col min="4833" max="4833" width="7.28515625" style="4" customWidth="1"/>
    <col min="4834" max="4834" width="10.5703125" style="4" customWidth="1"/>
    <col min="4835" max="4835" width="10.7109375" style="4" bestFit="1" customWidth="1"/>
    <col min="4836" max="4836" width="10.140625" style="4" customWidth="1"/>
    <col min="4837" max="4837" width="11.28515625" style="4" customWidth="1"/>
    <col min="4838" max="4851" width="10.140625" style="4" customWidth="1"/>
    <col min="4852" max="4852" width="10.140625" style="4" bestFit="1" customWidth="1"/>
    <col min="4853" max="5054" width="9.140625" style="4"/>
    <col min="5055" max="5055" width="3.7109375" style="4" customWidth="1"/>
    <col min="5056" max="5056" width="5" style="4" customWidth="1"/>
    <col min="5057" max="5057" width="13" style="4" customWidth="1"/>
    <col min="5058" max="5058" width="10.85546875" style="4" customWidth="1"/>
    <col min="5059" max="5059" width="2.85546875" style="4" customWidth="1"/>
    <col min="5060" max="5060" width="12.42578125" style="4" customWidth="1"/>
    <col min="5061" max="5061" width="2.28515625" style="4" customWidth="1"/>
    <col min="5062" max="5062" width="8.5703125" style="4" customWidth="1"/>
    <col min="5063" max="5063" width="5.28515625" style="4" customWidth="1"/>
    <col min="5064" max="5064" width="7.140625" style="4" customWidth="1"/>
    <col min="5065" max="5065" width="0" style="4" hidden="1" customWidth="1"/>
    <col min="5066" max="5066" width="8.7109375" style="4" customWidth="1"/>
    <col min="5067" max="5067" width="3" style="4" customWidth="1"/>
    <col min="5068" max="5069" width="2" style="4" customWidth="1"/>
    <col min="5070" max="5070" width="2.42578125" style="4" customWidth="1"/>
    <col min="5071" max="5071" width="2.85546875" style="4" customWidth="1"/>
    <col min="5072" max="5072" width="3.140625" style="4" customWidth="1"/>
    <col min="5073" max="5073" width="7" style="4" customWidth="1"/>
    <col min="5074" max="5074" width="2.42578125" style="4" customWidth="1"/>
    <col min="5075" max="5075" width="2.7109375" style="4" customWidth="1"/>
    <col min="5076" max="5078" width="2" style="4" customWidth="1"/>
    <col min="5079" max="5079" width="2.5703125" style="4" customWidth="1"/>
    <col min="5080" max="5080" width="2.7109375" style="4" customWidth="1"/>
    <col min="5081" max="5081" width="2.28515625" style="4" customWidth="1"/>
    <col min="5082" max="5082" width="2" style="4" customWidth="1"/>
    <col min="5083" max="5083" width="3.140625" style="4" customWidth="1"/>
    <col min="5084" max="5084" width="2" style="4" customWidth="1"/>
    <col min="5085" max="5085" width="8.85546875" style="4" customWidth="1"/>
    <col min="5086" max="5086" width="5.42578125" style="4" customWidth="1"/>
    <col min="5087" max="5088" width="0" style="4" hidden="1" customWidth="1"/>
    <col min="5089" max="5089" width="7.28515625" style="4" customWidth="1"/>
    <col min="5090" max="5090" width="10.5703125" style="4" customWidth="1"/>
    <col min="5091" max="5091" width="10.7109375" style="4" bestFit="1" customWidth="1"/>
    <col min="5092" max="5092" width="10.140625" style="4" customWidth="1"/>
    <col min="5093" max="5093" width="11.28515625" style="4" customWidth="1"/>
    <col min="5094" max="5107" width="10.140625" style="4" customWidth="1"/>
    <col min="5108" max="5108" width="10.140625" style="4" bestFit="1" customWidth="1"/>
    <col min="5109" max="5310" width="9.140625" style="4"/>
    <col min="5311" max="5311" width="3.7109375" style="4" customWidth="1"/>
    <col min="5312" max="5312" width="5" style="4" customWidth="1"/>
    <col min="5313" max="5313" width="13" style="4" customWidth="1"/>
    <col min="5314" max="5314" width="10.85546875" style="4" customWidth="1"/>
    <col min="5315" max="5315" width="2.85546875" style="4" customWidth="1"/>
    <col min="5316" max="5316" width="12.42578125" style="4" customWidth="1"/>
    <col min="5317" max="5317" width="2.28515625" style="4" customWidth="1"/>
    <col min="5318" max="5318" width="8.5703125" style="4" customWidth="1"/>
    <col min="5319" max="5319" width="5.28515625" style="4" customWidth="1"/>
    <col min="5320" max="5320" width="7.140625" style="4" customWidth="1"/>
    <col min="5321" max="5321" width="0" style="4" hidden="1" customWidth="1"/>
    <col min="5322" max="5322" width="8.7109375" style="4" customWidth="1"/>
    <col min="5323" max="5323" width="3" style="4" customWidth="1"/>
    <col min="5324" max="5325" width="2" style="4" customWidth="1"/>
    <col min="5326" max="5326" width="2.42578125" style="4" customWidth="1"/>
    <col min="5327" max="5327" width="2.85546875" style="4" customWidth="1"/>
    <col min="5328" max="5328" width="3.140625" style="4" customWidth="1"/>
    <col min="5329" max="5329" width="7" style="4" customWidth="1"/>
    <col min="5330" max="5330" width="2.42578125" style="4" customWidth="1"/>
    <col min="5331" max="5331" width="2.7109375" style="4" customWidth="1"/>
    <col min="5332" max="5334" width="2" style="4" customWidth="1"/>
    <col min="5335" max="5335" width="2.5703125" style="4" customWidth="1"/>
    <col min="5336" max="5336" width="2.7109375" style="4" customWidth="1"/>
    <col min="5337" max="5337" width="2.28515625" style="4" customWidth="1"/>
    <col min="5338" max="5338" width="2" style="4" customWidth="1"/>
    <col min="5339" max="5339" width="3.140625" style="4" customWidth="1"/>
    <col min="5340" max="5340" width="2" style="4" customWidth="1"/>
    <col min="5341" max="5341" width="8.85546875" style="4" customWidth="1"/>
    <col min="5342" max="5342" width="5.42578125" style="4" customWidth="1"/>
    <col min="5343" max="5344" width="0" style="4" hidden="1" customWidth="1"/>
    <col min="5345" max="5345" width="7.28515625" style="4" customWidth="1"/>
    <col min="5346" max="5346" width="10.5703125" style="4" customWidth="1"/>
    <col min="5347" max="5347" width="10.7109375" style="4" bestFit="1" customWidth="1"/>
    <col min="5348" max="5348" width="10.140625" style="4" customWidth="1"/>
    <col min="5349" max="5349" width="11.28515625" style="4" customWidth="1"/>
    <col min="5350" max="5363" width="10.140625" style="4" customWidth="1"/>
    <col min="5364" max="5364" width="10.140625" style="4" bestFit="1" customWidth="1"/>
    <col min="5365" max="5566" width="9.140625" style="4"/>
    <col min="5567" max="5567" width="3.7109375" style="4" customWidth="1"/>
    <col min="5568" max="5568" width="5" style="4" customWidth="1"/>
    <col min="5569" max="5569" width="13" style="4" customWidth="1"/>
    <col min="5570" max="5570" width="10.85546875" style="4" customWidth="1"/>
    <col min="5571" max="5571" width="2.85546875" style="4" customWidth="1"/>
    <col min="5572" max="5572" width="12.42578125" style="4" customWidth="1"/>
    <col min="5573" max="5573" width="2.28515625" style="4" customWidth="1"/>
    <col min="5574" max="5574" width="8.5703125" style="4" customWidth="1"/>
    <col min="5575" max="5575" width="5.28515625" style="4" customWidth="1"/>
    <col min="5576" max="5576" width="7.140625" style="4" customWidth="1"/>
    <col min="5577" max="5577" width="0" style="4" hidden="1" customWidth="1"/>
    <col min="5578" max="5578" width="8.7109375" style="4" customWidth="1"/>
    <col min="5579" max="5579" width="3" style="4" customWidth="1"/>
    <col min="5580" max="5581" width="2" style="4" customWidth="1"/>
    <col min="5582" max="5582" width="2.42578125" style="4" customWidth="1"/>
    <col min="5583" max="5583" width="2.85546875" style="4" customWidth="1"/>
    <col min="5584" max="5584" width="3.140625" style="4" customWidth="1"/>
    <col min="5585" max="5585" width="7" style="4" customWidth="1"/>
    <col min="5586" max="5586" width="2.42578125" style="4" customWidth="1"/>
    <col min="5587" max="5587" width="2.7109375" style="4" customWidth="1"/>
    <col min="5588" max="5590" width="2" style="4" customWidth="1"/>
    <col min="5591" max="5591" width="2.5703125" style="4" customWidth="1"/>
    <col min="5592" max="5592" width="2.7109375" style="4" customWidth="1"/>
    <col min="5593" max="5593" width="2.28515625" style="4" customWidth="1"/>
    <col min="5594" max="5594" width="2" style="4" customWidth="1"/>
    <col min="5595" max="5595" width="3.140625" style="4" customWidth="1"/>
    <col min="5596" max="5596" width="2" style="4" customWidth="1"/>
    <col min="5597" max="5597" width="8.85546875" style="4" customWidth="1"/>
    <col min="5598" max="5598" width="5.42578125" style="4" customWidth="1"/>
    <col min="5599" max="5600" width="0" style="4" hidden="1" customWidth="1"/>
    <col min="5601" max="5601" width="7.28515625" style="4" customWidth="1"/>
    <col min="5602" max="5602" width="10.5703125" style="4" customWidth="1"/>
    <col min="5603" max="5603" width="10.7109375" style="4" bestFit="1" customWidth="1"/>
    <col min="5604" max="5604" width="10.140625" style="4" customWidth="1"/>
    <col min="5605" max="5605" width="11.28515625" style="4" customWidth="1"/>
    <col min="5606" max="5619" width="10.140625" style="4" customWidth="1"/>
    <col min="5620" max="5620" width="10.140625" style="4" bestFit="1" customWidth="1"/>
    <col min="5621" max="5822" width="9.140625" style="4"/>
    <col min="5823" max="5823" width="3.7109375" style="4" customWidth="1"/>
    <col min="5824" max="5824" width="5" style="4" customWidth="1"/>
    <col min="5825" max="5825" width="13" style="4" customWidth="1"/>
    <col min="5826" max="5826" width="10.85546875" style="4" customWidth="1"/>
    <col min="5827" max="5827" width="2.85546875" style="4" customWidth="1"/>
    <col min="5828" max="5828" width="12.42578125" style="4" customWidth="1"/>
    <col min="5829" max="5829" width="2.28515625" style="4" customWidth="1"/>
    <col min="5830" max="5830" width="8.5703125" style="4" customWidth="1"/>
    <col min="5831" max="5831" width="5.28515625" style="4" customWidth="1"/>
    <col min="5832" max="5832" width="7.140625" style="4" customWidth="1"/>
    <col min="5833" max="5833" width="0" style="4" hidden="1" customWidth="1"/>
    <col min="5834" max="5834" width="8.7109375" style="4" customWidth="1"/>
    <col min="5835" max="5835" width="3" style="4" customWidth="1"/>
    <col min="5836" max="5837" width="2" style="4" customWidth="1"/>
    <col min="5838" max="5838" width="2.42578125" style="4" customWidth="1"/>
    <col min="5839" max="5839" width="2.85546875" style="4" customWidth="1"/>
    <col min="5840" max="5840" width="3.140625" style="4" customWidth="1"/>
    <col min="5841" max="5841" width="7" style="4" customWidth="1"/>
    <col min="5842" max="5842" width="2.42578125" style="4" customWidth="1"/>
    <col min="5843" max="5843" width="2.7109375" style="4" customWidth="1"/>
    <col min="5844" max="5846" width="2" style="4" customWidth="1"/>
    <col min="5847" max="5847" width="2.5703125" style="4" customWidth="1"/>
    <col min="5848" max="5848" width="2.7109375" style="4" customWidth="1"/>
    <col min="5849" max="5849" width="2.28515625" style="4" customWidth="1"/>
    <col min="5850" max="5850" width="2" style="4" customWidth="1"/>
    <col min="5851" max="5851" width="3.140625" style="4" customWidth="1"/>
    <col min="5852" max="5852" width="2" style="4" customWidth="1"/>
    <col min="5853" max="5853" width="8.85546875" style="4" customWidth="1"/>
    <col min="5854" max="5854" width="5.42578125" style="4" customWidth="1"/>
    <col min="5855" max="5856" width="0" style="4" hidden="1" customWidth="1"/>
    <col min="5857" max="5857" width="7.28515625" style="4" customWidth="1"/>
    <col min="5858" max="5858" width="10.5703125" style="4" customWidth="1"/>
    <col min="5859" max="5859" width="10.7109375" style="4" bestFit="1" customWidth="1"/>
    <col min="5860" max="5860" width="10.140625" style="4" customWidth="1"/>
    <col min="5861" max="5861" width="11.28515625" style="4" customWidth="1"/>
    <col min="5862" max="5875" width="10.140625" style="4" customWidth="1"/>
    <col min="5876" max="5876" width="10.140625" style="4" bestFit="1" customWidth="1"/>
    <col min="5877" max="6078" width="9.140625" style="4"/>
    <col min="6079" max="6079" width="3.7109375" style="4" customWidth="1"/>
    <col min="6080" max="6080" width="5" style="4" customWidth="1"/>
    <col min="6081" max="6081" width="13" style="4" customWidth="1"/>
    <col min="6082" max="6082" width="10.85546875" style="4" customWidth="1"/>
    <col min="6083" max="6083" width="2.85546875" style="4" customWidth="1"/>
    <col min="6084" max="6084" width="12.42578125" style="4" customWidth="1"/>
    <col min="6085" max="6085" width="2.28515625" style="4" customWidth="1"/>
    <col min="6086" max="6086" width="8.5703125" style="4" customWidth="1"/>
    <col min="6087" max="6087" width="5.28515625" style="4" customWidth="1"/>
    <col min="6088" max="6088" width="7.140625" style="4" customWidth="1"/>
    <col min="6089" max="6089" width="0" style="4" hidden="1" customWidth="1"/>
    <col min="6090" max="6090" width="8.7109375" style="4" customWidth="1"/>
    <col min="6091" max="6091" width="3" style="4" customWidth="1"/>
    <col min="6092" max="6093" width="2" style="4" customWidth="1"/>
    <col min="6094" max="6094" width="2.42578125" style="4" customWidth="1"/>
    <col min="6095" max="6095" width="2.85546875" style="4" customWidth="1"/>
    <col min="6096" max="6096" width="3.140625" style="4" customWidth="1"/>
    <col min="6097" max="6097" width="7" style="4" customWidth="1"/>
    <col min="6098" max="6098" width="2.42578125" style="4" customWidth="1"/>
    <col min="6099" max="6099" width="2.7109375" style="4" customWidth="1"/>
    <col min="6100" max="6102" width="2" style="4" customWidth="1"/>
    <col min="6103" max="6103" width="2.5703125" style="4" customWidth="1"/>
    <col min="6104" max="6104" width="2.7109375" style="4" customWidth="1"/>
    <col min="6105" max="6105" width="2.28515625" style="4" customWidth="1"/>
    <col min="6106" max="6106" width="2" style="4" customWidth="1"/>
    <col min="6107" max="6107" width="3.140625" style="4" customWidth="1"/>
    <col min="6108" max="6108" width="2" style="4" customWidth="1"/>
    <col min="6109" max="6109" width="8.85546875" style="4" customWidth="1"/>
    <col min="6110" max="6110" width="5.42578125" style="4" customWidth="1"/>
    <col min="6111" max="6112" width="0" style="4" hidden="1" customWidth="1"/>
    <col min="6113" max="6113" width="7.28515625" style="4" customWidth="1"/>
    <col min="6114" max="6114" width="10.5703125" style="4" customWidth="1"/>
    <col min="6115" max="6115" width="10.7109375" style="4" bestFit="1" customWidth="1"/>
    <col min="6116" max="6116" width="10.140625" style="4" customWidth="1"/>
    <col min="6117" max="6117" width="11.28515625" style="4" customWidth="1"/>
    <col min="6118" max="6131" width="10.140625" style="4" customWidth="1"/>
    <col min="6132" max="6132" width="10.140625" style="4" bestFit="1" customWidth="1"/>
    <col min="6133" max="6334" width="9.140625" style="4"/>
    <col min="6335" max="6335" width="3.7109375" style="4" customWidth="1"/>
    <col min="6336" max="6336" width="5" style="4" customWidth="1"/>
    <col min="6337" max="6337" width="13" style="4" customWidth="1"/>
    <col min="6338" max="6338" width="10.85546875" style="4" customWidth="1"/>
    <col min="6339" max="6339" width="2.85546875" style="4" customWidth="1"/>
    <col min="6340" max="6340" width="12.42578125" style="4" customWidth="1"/>
    <col min="6341" max="6341" width="2.28515625" style="4" customWidth="1"/>
    <col min="6342" max="6342" width="8.5703125" style="4" customWidth="1"/>
    <col min="6343" max="6343" width="5.28515625" style="4" customWidth="1"/>
    <col min="6344" max="6344" width="7.140625" style="4" customWidth="1"/>
    <col min="6345" max="6345" width="0" style="4" hidden="1" customWidth="1"/>
    <col min="6346" max="6346" width="8.7109375" style="4" customWidth="1"/>
    <col min="6347" max="6347" width="3" style="4" customWidth="1"/>
    <col min="6348" max="6349" width="2" style="4" customWidth="1"/>
    <col min="6350" max="6350" width="2.42578125" style="4" customWidth="1"/>
    <col min="6351" max="6351" width="2.85546875" style="4" customWidth="1"/>
    <col min="6352" max="6352" width="3.140625" style="4" customWidth="1"/>
    <col min="6353" max="6353" width="7" style="4" customWidth="1"/>
    <col min="6354" max="6354" width="2.42578125" style="4" customWidth="1"/>
    <col min="6355" max="6355" width="2.7109375" style="4" customWidth="1"/>
    <col min="6356" max="6358" width="2" style="4" customWidth="1"/>
    <col min="6359" max="6359" width="2.5703125" style="4" customWidth="1"/>
    <col min="6360" max="6360" width="2.7109375" style="4" customWidth="1"/>
    <col min="6361" max="6361" width="2.28515625" style="4" customWidth="1"/>
    <col min="6362" max="6362" width="2" style="4" customWidth="1"/>
    <col min="6363" max="6363" width="3.140625" style="4" customWidth="1"/>
    <col min="6364" max="6364" width="2" style="4" customWidth="1"/>
    <col min="6365" max="6365" width="8.85546875" style="4" customWidth="1"/>
    <col min="6366" max="6366" width="5.42578125" style="4" customWidth="1"/>
    <col min="6367" max="6368" width="0" style="4" hidden="1" customWidth="1"/>
    <col min="6369" max="6369" width="7.28515625" style="4" customWidth="1"/>
    <col min="6370" max="6370" width="10.5703125" style="4" customWidth="1"/>
    <col min="6371" max="6371" width="10.7109375" style="4" bestFit="1" customWidth="1"/>
    <col min="6372" max="6372" width="10.140625" style="4" customWidth="1"/>
    <col min="6373" max="6373" width="11.28515625" style="4" customWidth="1"/>
    <col min="6374" max="6387" width="10.140625" style="4" customWidth="1"/>
    <col min="6388" max="6388" width="10.140625" style="4" bestFit="1" customWidth="1"/>
    <col min="6389" max="6590" width="9.140625" style="4"/>
    <col min="6591" max="6591" width="3.7109375" style="4" customWidth="1"/>
    <col min="6592" max="6592" width="5" style="4" customWidth="1"/>
    <col min="6593" max="6593" width="13" style="4" customWidth="1"/>
    <col min="6594" max="6594" width="10.85546875" style="4" customWidth="1"/>
    <col min="6595" max="6595" width="2.85546875" style="4" customWidth="1"/>
    <col min="6596" max="6596" width="12.42578125" style="4" customWidth="1"/>
    <col min="6597" max="6597" width="2.28515625" style="4" customWidth="1"/>
    <col min="6598" max="6598" width="8.5703125" style="4" customWidth="1"/>
    <col min="6599" max="6599" width="5.28515625" style="4" customWidth="1"/>
    <col min="6600" max="6600" width="7.140625" style="4" customWidth="1"/>
    <col min="6601" max="6601" width="0" style="4" hidden="1" customWidth="1"/>
    <col min="6602" max="6602" width="8.7109375" style="4" customWidth="1"/>
    <col min="6603" max="6603" width="3" style="4" customWidth="1"/>
    <col min="6604" max="6605" width="2" style="4" customWidth="1"/>
    <col min="6606" max="6606" width="2.42578125" style="4" customWidth="1"/>
    <col min="6607" max="6607" width="2.85546875" style="4" customWidth="1"/>
    <col min="6608" max="6608" width="3.140625" style="4" customWidth="1"/>
    <col min="6609" max="6609" width="7" style="4" customWidth="1"/>
    <col min="6610" max="6610" width="2.42578125" style="4" customWidth="1"/>
    <col min="6611" max="6611" width="2.7109375" style="4" customWidth="1"/>
    <col min="6612" max="6614" width="2" style="4" customWidth="1"/>
    <col min="6615" max="6615" width="2.5703125" style="4" customWidth="1"/>
    <col min="6616" max="6616" width="2.7109375" style="4" customWidth="1"/>
    <col min="6617" max="6617" width="2.28515625" style="4" customWidth="1"/>
    <col min="6618" max="6618" width="2" style="4" customWidth="1"/>
    <col min="6619" max="6619" width="3.140625" style="4" customWidth="1"/>
    <col min="6620" max="6620" width="2" style="4" customWidth="1"/>
    <col min="6621" max="6621" width="8.85546875" style="4" customWidth="1"/>
    <col min="6622" max="6622" width="5.42578125" style="4" customWidth="1"/>
    <col min="6623" max="6624" width="0" style="4" hidden="1" customWidth="1"/>
    <col min="6625" max="6625" width="7.28515625" style="4" customWidth="1"/>
    <col min="6626" max="6626" width="10.5703125" style="4" customWidth="1"/>
    <col min="6627" max="6627" width="10.7109375" style="4" bestFit="1" customWidth="1"/>
    <col min="6628" max="6628" width="10.140625" style="4" customWidth="1"/>
    <col min="6629" max="6629" width="11.28515625" style="4" customWidth="1"/>
    <col min="6630" max="6643" width="10.140625" style="4" customWidth="1"/>
    <col min="6644" max="6644" width="10.140625" style="4" bestFit="1" customWidth="1"/>
    <col min="6645" max="6846" width="9.140625" style="4"/>
    <col min="6847" max="6847" width="3.7109375" style="4" customWidth="1"/>
    <col min="6848" max="6848" width="5" style="4" customWidth="1"/>
    <col min="6849" max="6849" width="13" style="4" customWidth="1"/>
    <col min="6850" max="6850" width="10.85546875" style="4" customWidth="1"/>
    <col min="6851" max="6851" width="2.85546875" style="4" customWidth="1"/>
    <col min="6852" max="6852" width="12.42578125" style="4" customWidth="1"/>
    <col min="6853" max="6853" width="2.28515625" style="4" customWidth="1"/>
    <col min="6854" max="6854" width="8.5703125" style="4" customWidth="1"/>
    <col min="6855" max="6855" width="5.28515625" style="4" customWidth="1"/>
    <col min="6856" max="6856" width="7.140625" style="4" customWidth="1"/>
    <col min="6857" max="6857" width="0" style="4" hidden="1" customWidth="1"/>
    <col min="6858" max="6858" width="8.7109375" style="4" customWidth="1"/>
    <col min="6859" max="6859" width="3" style="4" customWidth="1"/>
    <col min="6860" max="6861" width="2" style="4" customWidth="1"/>
    <col min="6862" max="6862" width="2.42578125" style="4" customWidth="1"/>
    <col min="6863" max="6863" width="2.85546875" style="4" customWidth="1"/>
    <col min="6864" max="6864" width="3.140625" style="4" customWidth="1"/>
    <col min="6865" max="6865" width="7" style="4" customWidth="1"/>
    <col min="6866" max="6866" width="2.42578125" style="4" customWidth="1"/>
    <col min="6867" max="6867" width="2.7109375" style="4" customWidth="1"/>
    <col min="6868" max="6870" width="2" style="4" customWidth="1"/>
    <col min="6871" max="6871" width="2.5703125" style="4" customWidth="1"/>
    <col min="6872" max="6872" width="2.7109375" style="4" customWidth="1"/>
    <col min="6873" max="6873" width="2.28515625" style="4" customWidth="1"/>
    <col min="6874" max="6874" width="2" style="4" customWidth="1"/>
    <col min="6875" max="6875" width="3.140625" style="4" customWidth="1"/>
    <col min="6876" max="6876" width="2" style="4" customWidth="1"/>
    <col min="6877" max="6877" width="8.85546875" style="4" customWidth="1"/>
    <col min="6878" max="6878" width="5.42578125" style="4" customWidth="1"/>
    <col min="6879" max="6880" width="0" style="4" hidden="1" customWidth="1"/>
    <col min="6881" max="6881" width="7.28515625" style="4" customWidth="1"/>
    <col min="6882" max="6882" width="10.5703125" style="4" customWidth="1"/>
    <col min="6883" max="6883" width="10.7109375" style="4" bestFit="1" customWidth="1"/>
    <col min="6884" max="6884" width="10.140625" style="4" customWidth="1"/>
    <col min="6885" max="6885" width="11.28515625" style="4" customWidth="1"/>
    <col min="6886" max="6899" width="10.140625" style="4" customWidth="1"/>
    <col min="6900" max="6900" width="10.140625" style="4" bestFit="1" customWidth="1"/>
    <col min="6901" max="7102" width="9.140625" style="4"/>
    <col min="7103" max="7103" width="3.7109375" style="4" customWidth="1"/>
    <col min="7104" max="7104" width="5" style="4" customWidth="1"/>
    <col min="7105" max="7105" width="13" style="4" customWidth="1"/>
    <col min="7106" max="7106" width="10.85546875" style="4" customWidth="1"/>
    <col min="7107" max="7107" width="2.85546875" style="4" customWidth="1"/>
    <col min="7108" max="7108" width="12.42578125" style="4" customWidth="1"/>
    <col min="7109" max="7109" width="2.28515625" style="4" customWidth="1"/>
    <col min="7110" max="7110" width="8.5703125" style="4" customWidth="1"/>
    <col min="7111" max="7111" width="5.28515625" style="4" customWidth="1"/>
    <col min="7112" max="7112" width="7.140625" style="4" customWidth="1"/>
    <col min="7113" max="7113" width="0" style="4" hidden="1" customWidth="1"/>
    <col min="7114" max="7114" width="8.7109375" style="4" customWidth="1"/>
    <col min="7115" max="7115" width="3" style="4" customWidth="1"/>
    <col min="7116" max="7117" width="2" style="4" customWidth="1"/>
    <col min="7118" max="7118" width="2.42578125" style="4" customWidth="1"/>
    <col min="7119" max="7119" width="2.85546875" style="4" customWidth="1"/>
    <col min="7120" max="7120" width="3.140625" style="4" customWidth="1"/>
    <col min="7121" max="7121" width="7" style="4" customWidth="1"/>
    <col min="7122" max="7122" width="2.42578125" style="4" customWidth="1"/>
    <col min="7123" max="7123" width="2.7109375" style="4" customWidth="1"/>
    <col min="7124" max="7126" width="2" style="4" customWidth="1"/>
    <col min="7127" max="7127" width="2.5703125" style="4" customWidth="1"/>
    <col min="7128" max="7128" width="2.7109375" style="4" customWidth="1"/>
    <col min="7129" max="7129" width="2.28515625" style="4" customWidth="1"/>
    <col min="7130" max="7130" width="2" style="4" customWidth="1"/>
    <col min="7131" max="7131" width="3.140625" style="4" customWidth="1"/>
    <col min="7132" max="7132" width="2" style="4" customWidth="1"/>
    <col min="7133" max="7133" width="8.85546875" style="4" customWidth="1"/>
    <col min="7134" max="7134" width="5.42578125" style="4" customWidth="1"/>
    <col min="7135" max="7136" width="0" style="4" hidden="1" customWidth="1"/>
    <col min="7137" max="7137" width="7.28515625" style="4" customWidth="1"/>
    <col min="7138" max="7138" width="10.5703125" style="4" customWidth="1"/>
    <col min="7139" max="7139" width="10.7109375" style="4" bestFit="1" customWidth="1"/>
    <col min="7140" max="7140" width="10.140625" style="4" customWidth="1"/>
    <col min="7141" max="7141" width="11.28515625" style="4" customWidth="1"/>
    <col min="7142" max="7155" width="10.140625" style="4" customWidth="1"/>
    <col min="7156" max="7156" width="10.140625" style="4" bestFit="1" customWidth="1"/>
    <col min="7157" max="7358" width="9.140625" style="4"/>
    <col min="7359" max="7359" width="3.7109375" style="4" customWidth="1"/>
    <col min="7360" max="7360" width="5" style="4" customWidth="1"/>
    <col min="7361" max="7361" width="13" style="4" customWidth="1"/>
    <col min="7362" max="7362" width="10.85546875" style="4" customWidth="1"/>
    <col min="7363" max="7363" width="2.85546875" style="4" customWidth="1"/>
    <col min="7364" max="7364" width="12.42578125" style="4" customWidth="1"/>
    <col min="7365" max="7365" width="2.28515625" style="4" customWidth="1"/>
    <col min="7366" max="7366" width="8.5703125" style="4" customWidth="1"/>
    <col min="7367" max="7367" width="5.28515625" style="4" customWidth="1"/>
    <col min="7368" max="7368" width="7.140625" style="4" customWidth="1"/>
    <col min="7369" max="7369" width="0" style="4" hidden="1" customWidth="1"/>
    <col min="7370" max="7370" width="8.7109375" style="4" customWidth="1"/>
    <col min="7371" max="7371" width="3" style="4" customWidth="1"/>
    <col min="7372" max="7373" width="2" style="4" customWidth="1"/>
    <col min="7374" max="7374" width="2.42578125" style="4" customWidth="1"/>
    <col min="7375" max="7375" width="2.85546875" style="4" customWidth="1"/>
    <col min="7376" max="7376" width="3.140625" style="4" customWidth="1"/>
    <col min="7377" max="7377" width="7" style="4" customWidth="1"/>
    <col min="7378" max="7378" width="2.42578125" style="4" customWidth="1"/>
    <col min="7379" max="7379" width="2.7109375" style="4" customWidth="1"/>
    <col min="7380" max="7382" width="2" style="4" customWidth="1"/>
    <col min="7383" max="7383" width="2.5703125" style="4" customWidth="1"/>
    <col min="7384" max="7384" width="2.7109375" style="4" customWidth="1"/>
    <col min="7385" max="7385" width="2.28515625" style="4" customWidth="1"/>
    <col min="7386" max="7386" width="2" style="4" customWidth="1"/>
    <col min="7387" max="7387" width="3.140625" style="4" customWidth="1"/>
    <col min="7388" max="7388" width="2" style="4" customWidth="1"/>
    <col min="7389" max="7389" width="8.85546875" style="4" customWidth="1"/>
    <col min="7390" max="7390" width="5.42578125" style="4" customWidth="1"/>
    <col min="7391" max="7392" width="0" style="4" hidden="1" customWidth="1"/>
    <col min="7393" max="7393" width="7.28515625" style="4" customWidth="1"/>
    <col min="7394" max="7394" width="10.5703125" style="4" customWidth="1"/>
    <col min="7395" max="7395" width="10.7109375" style="4" bestFit="1" customWidth="1"/>
    <col min="7396" max="7396" width="10.140625" style="4" customWidth="1"/>
    <col min="7397" max="7397" width="11.28515625" style="4" customWidth="1"/>
    <col min="7398" max="7411" width="10.140625" style="4" customWidth="1"/>
    <col min="7412" max="7412" width="10.140625" style="4" bestFit="1" customWidth="1"/>
    <col min="7413" max="7614" width="9.140625" style="4"/>
    <col min="7615" max="7615" width="3.7109375" style="4" customWidth="1"/>
    <col min="7616" max="7616" width="5" style="4" customWidth="1"/>
    <col min="7617" max="7617" width="13" style="4" customWidth="1"/>
    <col min="7618" max="7618" width="10.85546875" style="4" customWidth="1"/>
    <col min="7619" max="7619" width="2.85546875" style="4" customWidth="1"/>
    <col min="7620" max="7620" width="12.42578125" style="4" customWidth="1"/>
    <col min="7621" max="7621" width="2.28515625" style="4" customWidth="1"/>
    <col min="7622" max="7622" width="8.5703125" style="4" customWidth="1"/>
    <col min="7623" max="7623" width="5.28515625" style="4" customWidth="1"/>
    <col min="7624" max="7624" width="7.140625" style="4" customWidth="1"/>
    <col min="7625" max="7625" width="0" style="4" hidden="1" customWidth="1"/>
    <col min="7626" max="7626" width="8.7109375" style="4" customWidth="1"/>
    <col min="7627" max="7627" width="3" style="4" customWidth="1"/>
    <col min="7628" max="7629" width="2" style="4" customWidth="1"/>
    <col min="7630" max="7630" width="2.42578125" style="4" customWidth="1"/>
    <col min="7631" max="7631" width="2.85546875" style="4" customWidth="1"/>
    <col min="7632" max="7632" width="3.140625" style="4" customWidth="1"/>
    <col min="7633" max="7633" width="7" style="4" customWidth="1"/>
    <col min="7634" max="7634" width="2.42578125" style="4" customWidth="1"/>
    <col min="7635" max="7635" width="2.7109375" style="4" customWidth="1"/>
    <col min="7636" max="7638" width="2" style="4" customWidth="1"/>
    <col min="7639" max="7639" width="2.5703125" style="4" customWidth="1"/>
    <col min="7640" max="7640" width="2.7109375" style="4" customWidth="1"/>
    <col min="7641" max="7641" width="2.28515625" style="4" customWidth="1"/>
    <col min="7642" max="7642" width="2" style="4" customWidth="1"/>
    <col min="7643" max="7643" width="3.140625" style="4" customWidth="1"/>
    <col min="7644" max="7644" width="2" style="4" customWidth="1"/>
    <col min="7645" max="7645" width="8.85546875" style="4" customWidth="1"/>
    <col min="7646" max="7646" width="5.42578125" style="4" customWidth="1"/>
    <col min="7647" max="7648" width="0" style="4" hidden="1" customWidth="1"/>
    <col min="7649" max="7649" width="7.28515625" style="4" customWidth="1"/>
    <col min="7650" max="7650" width="10.5703125" style="4" customWidth="1"/>
    <col min="7651" max="7651" width="10.7109375" style="4" bestFit="1" customWidth="1"/>
    <col min="7652" max="7652" width="10.140625" style="4" customWidth="1"/>
    <col min="7653" max="7653" width="11.28515625" style="4" customWidth="1"/>
    <col min="7654" max="7667" width="10.140625" style="4" customWidth="1"/>
    <col min="7668" max="7668" width="10.140625" style="4" bestFit="1" customWidth="1"/>
    <col min="7669" max="7870" width="9.140625" style="4"/>
    <col min="7871" max="7871" width="3.7109375" style="4" customWidth="1"/>
    <col min="7872" max="7872" width="5" style="4" customWidth="1"/>
    <col min="7873" max="7873" width="13" style="4" customWidth="1"/>
    <col min="7874" max="7874" width="10.85546875" style="4" customWidth="1"/>
    <col min="7875" max="7875" width="2.85546875" style="4" customWidth="1"/>
    <col min="7876" max="7876" width="12.42578125" style="4" customWidth="1"/>
    <col min="7877" max="7877" width="2.28515625" style="4" customWidth="1"/>
    <col min="7878" max="7878" width="8.5703125" style="4" customWidth="1"/>
    <col min="7879" max="7879" width="5.28515625" style="4" customWidth="1"/>
    <col min="7880" max="7880" width="7.140625" style="4" customWidth="1"/>
    <col min="7881" max="7881" width="0" style="4" hidden="1" customWidth="1"/>
    <col min="7882" max="7882" width="8.7109375" style="4" customWidth="1"/>
    <col min="7883" max="7883" width="3" style="4" customWidth="1"/>
    <col min="7884" max="7885" width="2" style="4" customWidth="1"/>
    <col min="7886" max="7886" width="2.42578125" style="4" customWidth="1"/>
    <col min="7887" max="7887" width="2.85546875" style="4" customWidth="1"/>
    <col min="7888" max="7888" width="3.140625" style="4" customWidth="1"/>
    <col min="7889" max="7889" width="7" style="4" customWidth="1"/>
    <col min="7890" max="7890" width="2.42578125" style="4" customWidth="1"/>
    <col min="7891" max="7891" width="2.7109375" style="4" customWidth="1"/>
    <col min="7892" max="7894" width="2" style="4" customWidth="1"/>
    <col min="7895" max="7895" width="2.5703125" style="4" customWidth="1"/>
    <col min="7896" max="7896" width="2.7109375" style="4" customWidth="1"/>
    <col min="7897" max="7897" width="2.28515625" style="4" customWidth="1"/>
    <col min="7898" max="7898" width="2" style="4" customWidth="1"/>
    <col min="7899" max="7899" width="3.140625" style="4" customWidth="1"/>
    <col min="7900" max="7900" width="2" style="4" customWidth="1"/>
    <col min="7901" max="7901" width="8.85546875" style="4" customWidth="1"/>
    <col min="7902" max="7902" width="5.42578125" style="4" customWidth="1"/>
    <col min="7903" max="7904" width="0" style="4" hidden="1" customWidth="1"/>
    <col min="7905" max="7905" width="7.28515625" style="4" customWidth="1"/>
    <col min="7906" max="7906" width="10.5703125" style="4" customWidth="1"/>
    <col min="7907" max="7907" width="10.7109375" style="4" bestFit="1" customWidth="1"/>
    <col min="7908" max="7908" width="10.140625" style="4" customWidth="1"/>
    <col min="7909" max="7909" width="11.28515625" style="4" customWidth="1"/>
    <col min="7910" max="7923" width="10.140625" style="4" customWidth="1"/>
    <col min="7924" max="7924" width="10.140625" style="4" bestFit="1" customWidth="1"/>
    <col min="7925" max="8126" width="9.140625" style="4"/>
    <col min="8127" max="8127" width="3.7109375" style="4" customWidth="1"/>
    <col min="8128" max="8128" width="5" style="4" customWidth="1"/>
    <col min="8129" max="8129" width="13" style="4" customWidth="1"/>
    <col min="8130" max="8130" width="10.85546875" style="4" customWidth="1"/>
    <col min="8131" max="8131" width="2.85546875" style="4" customWidth="1"/>
    <col min="8132" max="8132" width="12.42578125" style="4" customWidth="1"/>
    <col min="8133" max="8133" width="2.28515625" style="4" customWidth="1"/>
    <col min="8134" max="8134" width="8.5703125" style="4" customWidth="1"/>
    <col min="8135" max="8135" width="5.28515625" style="4" customWidth="1"/>
    <col min="8136" max="8136" width="7.140625" style="4" customWidth="1"/>
    <col min="8137" max="8137" width="0" style="4" hidden="1" customWidth="1"/>
    <col min="8138" max="8138" width="8.7109375" style="4" customWidth="1"/>
    <col min="8139" max="8139" width="3" style="4" customWidth="1"/>
    <col min="8140" max="8141" width="2" style="4" customWidth="1"/>
    <col min="8142" max="8142" width="2.42578125" style="4" customWidth="1"/>
    <col min="8143" max="8143" width="2.85546875" style="4" customWidth="1"/>
    <col min="8144" max="8144" width="3.140625" style="4" customWidth="1"/>
    <col min="8145" max="8145" width="7" style="4" customWidth="1"/>
    <col min="8146" max="8146" width="2.42578125" style="4" customWidth="1"/>
    <col min="8147" max="8147" width="2.7109375" style="4" customWidth="1"/>
    <col min="8148" max="8150" width="2" style="4" customWidth="1"/>
    <col min="8151" max="8151" width="2.5703125" style="4" customWidth="1"/>
    <col min="8152" max="8152" width="2.7109375" style="4" customWidth="1"/>
    <col min="8153" max="8153" width="2.28515625" style="4" customWidth="1"/>
    <col min="8154" max="8154" width="2" style="4" customWidth="1"/>
    <col min="8155" max="8155" width="3.140625" style="4" customWidth="1"/>
    <col min="8156" max="8156" width="2" style="4" customWidth="1"/>
    <col min="8157" max="8157" width="8.85546875" style="4" customWidth="1"/>
    <col min="8158" max="8158" width="5.42578125" style="4" customWidth="1"/>
    <col min="8159" max="8160" width="0" style="4" hidden="1" customWidth="1"/>
    <col min="8161" max="8161" width="7.28515625" style="4" customWidth="1"/>
    <col min="8162" max="8162" width="10.5703125" style="4" customWidth="1"/>
    <col min="8163" max="8163" width="10.7109375" style="4" bestFit="1" customWidth="1"/>
    <col min="8164" max="8164" width="10.140625" style="4" customWidth="1"/>
    <col min="8165" max="8165" width="11.28515625" style="4" customWidth="1"/>
    <col min="8166" max="8179" width="10.140625" style="4" customWidth="1"/>
    <col min="8180" max="8180" width="10.140625" style="4" bestFit="1" customWidth="1"/>
    <col min="8181" max="8382" width="9.140625" style="4"/>
    <col min="8383" max="8383" width="3.7109375" style="4" customWidth="1"/>
    <col min="8384" max="8384" width="5" style="4" customWidth="1"/>
    <col min="8385" max="8385" width="13" style="4" customWidth="1"/>
    <col min="8386" max="8386" width="10.85546875" style="4" customWidth="1"/>
    <col min="8387" max="8387" width="2.85546875" style="4" customWidth="1"/>
    <col min="8388" max="8388" width="12.42578125" style="4" customWidth="1"/>
    <col min="8389" max="8389" width="2.28515625" style="4" customWidth="1"/>
    <col min="8390" max="8390" width="8.5703125" style="4" customWidth="1"/>
    <col min="8391" max="8391" width="5.28515625" style="4" customWidth="1"/>
    <col min="8392" max="8392" width="7.140625" style="4" customWidth="1"/>
    <col min="8393" max="8393" width="0" style="4" hidden="1" customWidth="1"/>
    <col min="8394" max="8394" width="8.7109375" style="4" customWidth="1"/>
    <col min="8395" max="8395" width="3" style="4" customWidth="1"/>
    <col min="8396" max="8397" width="2" style="4" customWidth="1"/>
    <col min="8398" max="8398" width="2.42578125" style="4" customWidth="1"/>
    <col min="8399" max="8399" width="2.85546875" style="4" customWidth="1"/>
    <col min="8400" max="8400" width="3.140625" style="4" customWidth="1"/>
    <col min="8401" max="8401" width="7" style="4" customWidth="1"/>
    <col min="8402" max="8402" width="2.42578125" style="4" customWidth="1"/>
    <col min="8403" max="8403" width="2.7109375" style="4" customWidth="1"/>
    <col min="8404" max="8406" width="2" style="4" customWidth="1"/>
    <col min="8407" max="8407" width="2.5703125" style="4" customWidth="1"/>
    <col min="8408" max="8408" width="2.7109375" style="4" customWidth="1"/>
    <col min="8409" max="8409" width="2.28515625" style="4" customWidth="1"/>
    <col min="8410" max="8410" width="2" style="4" customWidth="1"/>
    <col min="8411" max="8411" width="3.140625" style="4" customWidth="1"/>
    <col min="8412" max="8412" width="2" style="4" customWidth="1"/>
    <col min="8413" max="8413" width="8.85546875" style="4" customWidth="1"/>
    <col min="8414" max="8414" width="5.42578125" style="4" customWidth="1"/>
    <col min="8415" max="8416" width="0" style="4" hidden="1" customWidth="1"/>
    <col min="8417" max="8417" width="7.28515625" style="4" customWidth="1"/>
    <col min="8418" max="8418" width="10.5703125" style="4" customWidth="1"/>
    <col min="8419" max="8419" width="10.7109375" style="4" bestFit="1" customWidth="1"/>
    <col min="8420" max="8420" width="10.140625" style="4" customWidth="1"/>
    <col min="8421" max="8421" width="11.28515625" style="4" customWidth="1"/>
    <col min="8422" max="8435" width="10.140625" style="4" customWidth="1"/>
    <col min="8436" max="8436" width="10.140625" style="4" bestFit="1" customWidth="1"/>
    <col min="8437" max="8638" width="9.140625" style="4"/>
    <col min="8639" max="8639" width="3.7109375" style="4" customWidth="1"/>
    <col min="8640" max="8640" width="5" style="4" customWidth="1"/>
    <col min="8641" max="8641" width="13" style="4" customWidth="1"/>
    <col min="8642" max="8642" width="10.85546875" style="4" customWidth="1"/>
    <col min="8643" max="8643" width="2.85546875" style="4" customWidth="1"/>
    <col min="8644" max="8644" width="12.42578125" style="4" customWidth="1"/>
    <col min="8645" max="8645" width="2.28515625" style="4" customWidth="1"/>
    <col min="8646" max="8646" width="8.5703125" style="4" customWidth="1"/>
    <col min="8647" max="8647" width="5.28515625" style="4" customWidth="1"/>
    <col min="8648" max="8648" width="7.140625" style="4" customWidth="1"/>
    <col min="8649" max="8649" width="0" style="4" hidden="1" customWidth="1"/>
    <col min="8650" max="8650" width="8.7109375" style="4" customWidth="1"/>
    <col min="8651" max="8651" width="3" style="4" customWidth="1"/>
    <col min="8652" max="8653" width="2" style="4" customWidth="1"/>
    <col min="8654" max="8654" width="2.42578125" style="4" customWidth="1"/>
    <col min="8655" max="8655" width="2.85546875" style="4" customWidth="1"/>
    <col min="8656" max="8656" width="3.140625" style="4" customWidth="1"/>
    <col min="8657" max="8657" width="7" style="4" customWidth="1"/>
    <col min="8658" max="8658" width="2.42578125" style="4" customWidth="1"/>
    <col min="8659" max="8659" width="2.7109375" style="4" customWidth="1"/>
    <col min="8660" max="8662" width="2" style="4" customWidth="1"/>
    <col min="8663" max="8663" width="2.5703125" style="4" customWidth="1"/>
    <col min="8664" max="8664" width="2.7109375" style="4" customWidth="1"/>
    <col min="8665" max="8665" width="2.28515625" style="4" customWidth="1"/>
    <col min="8666" max="8666" width="2" style="4" customWidth="1"/>
    <col min="8667" max="8667" width="3.140625" style="4" customWidth="1"/>
    <col min="8668" max="8668" width="2" style="4" customWidth="1"/>
    <col min="8669" max="8669" width="8.85546875" style="4" customWidth="1"/>
    <col min="8670" max="8670" width="5.42578125" style="4" customWidth="1"/>
    <col min="8671" max="8672" width="0" style="4" hidden="1" customWidth="1"/>
    <col min="8673" max="8673" width="7.28515625" style="4" customWidth="1"/>
    <col min="8674" max="8674" width="10.5703125" style="4" customWidth="1"/>
    <col min="8675" max="8675" width="10.7109375" style="4" bestFit="1" customWidth="1"/>
    <col min="8676" max="8676" width="10.140625" style="4" customWidth="1"/>
    <col min="8677" max="8677" width="11.28515625" style="4" customWidth="1"/>
    <col min="8678" max="8691" width="10.140625" style="4" customWidth="1"/>
    <col min="8692" max="8692" width="10.140625" style="4" bestFit="1" customWidth="1"/>
    <col min="8693" max="8894" width="9.140625" style="4"/>
    <col min="8895" max="8895" width="3.7109375" style="4" customWidth="1"/>
    <col min="8896" max="8896" width="5" style="4" customWidth="1"/>
    <col min="8897" max="8897" width="13" style="4" customWidth="1"/>
    <col min="8898" max="8898" width="10.85546875" style="4" customWidth="1"/>
    <col min="8899" max="8899" width="2.85546875" style="4" customWidth="1"/>
    <col min="8900" max="8900" width="12.42578125" style="4" customWidth="1"/>
    <col min="8901" max="8901" width="2.28515625" style="4" customWidth="1"/>
    <col min="8902" max="8902" width="8.5703125" style="4" customWidth="1"/>
    <col min="8903" max="8903" width="5.28515625" style="4" customWidth="1"/>
    <col min="8904" max="8904" width="7.140625" style="4" customWidth="1"/>
    <col min="8905" max="8905" width="0" style="4" hidden="1" customWidth="1"/>
    <col min="8906" max="8906" width="8.7109375" style="4" customWidth="1"/>
    <col min="8907" max="8907" width="3" style="4" customWidth="1"/>
    <col min="8908" max="8909" width="2" style="4" customWidth="1"/>
    <col min="8910" max="8910" width="2.42578125" style="4" customWidth="1"/>
    <col min="8911" max="8911" width="2.85546875" style="4" customWidth="1"/>
    <col min="8912" max="8912" width="3.140625" style="4" customWidth="1"/>
    <col min="8913" max="8913" width="7" style="4" customWidth="1"/>
    <col min="8914" max="8914" width="2.42578125" style="4" customWidth="1"/>
    <col min="8915" max="8915" width="2.7109375" style="4" customWidth="1"/>
    <col min="8916" max="8918" width="2" style="4" customWidth="1"/>
    <col min="8919" max="8919" width="2.5703125" style="4" customWidth="1"/>
    <col min="8920" max="8920" width="2.7109375" style="4" customWidth="1"/>
    <col min="8921" max="8921" width="2.28515625" style="4" customWidth="1"/>
    <col min="8922" max="8922" width="2" style="4" customWidth="1"/>
    <col min="8923" max="8923" width="3.140625" style="4" customWidth="1"/>
    <col min="8924" max="8924" width="2" style="4" customWidth="1"/>
    <col min="8925" max="8925" width="8.85546875" style="4" customWidth="1"/>
    <col min="8926" max="8926" width="5.42578125" style="4" customWidth="1"/>
    <col min="8927" max="8928" width="0" style="4" hidden="1" customWidth="1"/>
    <col min="8929" max="8929" width="7.28515625" style="4" customWidth="1"/>
    <col min="8930" max="8930" width="10.5703125" style="4" customWidth="1"/>
    <col min="8931" max="8931" width="10.7109375" style="4" bestFit="1" customWidth="1"/>
    <col min="8932" max="8932" width="10.140625" style="4" customWidth="1"/>
    <col min="8933" max="8933" width="11.28515625" style="4" customWidth="1"/>
    <col min="8934" max="8947" width="10.140625" style="4" customWidth="1"/>
    <col min="8948" max="8948" width="10.140625" style="4" bestFit="1" customWidth="1"/>
    <col min="8949" max="9150" width="9.140625" style="4"/>
    <col min="9151" max="9151" width="3.7109375" style="4" customWidth="1"/>
    <col min="9152" max="9152" width="5" style="4" customWidth="1"/>
    <col min="9153" max="9153" width="13" style="4" customWidth="1"/>
    <col min="9154" max="9154" width="10.85546875" style="4" customWidth="1"/>
    <col min="9155" max="9155" width="2.85546875" style="4" customWidth="1"/>
    <col min="9156" max="9156" width="12.42578125" style="4" customWidth="1"/>
    <col min="9157" max="9157" width="2.28515625" style="4" customWidth="1"/>
    <col min="9158" max="9158" width="8.5703125" style="4" customWidth="1"/>
    <col min="9159" max="9159" width="5.28515625" style="4" customWidth="1"/>
    <col min="9160" max="9160" width="7.140625" style="4" customWidth="1"/>
    <col min="9161" max="9161" width="0" style="4" hidden="1" customWidth="1"/>
    <col min="9162" max="9162" width="8.7109375" style="4" customWidth="1"/>
    <col min="9163" max="9163" width="3" style="4" customWidth="1"/>
    <col min="9164" max="9165" width="2" style="4" customWidth="1"/>
    <col min="9166" max="9166" width="2.42578125" style="4" customWidth="1"/>
    <col min="9167" max="9167" width="2.85546875" style="4" customWidth="1"/>
    <col min="9168" max="9168" width="3.140625" style="4" customWidth="1"/>
    <col min="9169" max="9169" width="7" style="4" customWidth="1"/>
    <col min="9170" max="9170" width="2.42578125" style="4" customWidth="1"/>
    <col min="9171" max="9171" width="2.7109375" style="4" customWidth="1"/>
    <col min="9172" max="9174" width="2" style="4" customWidth="1"/>
    <col min="9175" max="9175" width="2.5703125" style="4" customWidth="1"/>
    <col min="9176" max="9176" width="2.7109375" style="4" customWidth="1"/>
    <col min="9177" max="9177" width="2.28515625" style="4" customWidth="1"/>
    <col min="9178" max="9178" width="2" style="4" customWidth="1"/>
    <col min="9179" max="9179" width="3.140625" style="4" customWidth="1"/>
    <col min="9180" max="9180" width="2" style="4" customWidth="1"/>
    <col min="9181" max="9181" width="8.85546875" style="4" customWidth="1"/>
    <col min="9182" max="9182" width="5.42578125" style="4" customWidth="1"/>
    <col min="9183" max="9184" width="0" style="4" hidden="1" customWidth="1"/>
    <col min="9185" max="9185" width="7.28515625" style="4" customWidth="1"/>
    <col min="9186" max="9186" width="10.5703125" style="4" customWidth="1"/>
    <col min="9187" max="9187" width="10.7109375" style="4" bestFit="1" customWidth="1"/>
    <col min="9188" max="9188" width="10.140625" style="4" customWidth="1"/>
    <col min="9189" max="9189" width="11.28515625" style="4" customWidth="1"/>
    <col min="9190" max="9203" width="10.140625" style="4" customWidth="1"/>
    <col min="9204" max="9204" width="10.140625" style="4" bestFit="1" customWidth="1"/>
    <col min="9205" max="9406" width="9.140625" style="4"/>
    <col min="9407" max="9407" width="3.7109375" style="4" customWidth="1"/>
    <col min="9408" max="9408" width="5" style="4" customWidth="1"/>
    <col min="9409" max="9409" width="13" style="4" customWidth="1"/>
    <col min="9410" max="9410" width="10.85546875" style="4" customWidth="1"/>
    <col min="9411" max="9411" width="2.85546875" style="4" customWidth="1"/>
    <col min="9412" max="9412" width="12.42578125" style="4" customWidth="1"/>
    <col min="9413" max="9413" width="2.28515625" style="4" customWidth="1"/>
    <col min="9414" max="9414" width="8.5703125" style="4" customWidth="1"/>
    <col min="9415" max="9415" width="5.28515625" style="4" customWidth="1"/>
    <col min="9416" max="9416" width="7.140625" style="4" customWidth="1"/>
    <col min="9417" max="9417" width="0" style="4" hidden="1" customWidth="1"/>
    <col min="9418" max="9418" width="8.7109375" style="4" customWidth="1"/>
    <col min="9419" max="9419" width="3" style="4" customWidth="1"/>
    <col min="9420" max="9421" width="2" style="4" customWidth="1"/>
    <col min="9422" max="9422" width="2.42578125" style="4" customWidth="1"/>
    <col min="9423" max="9423" width="2.85546875" style="4" customWidth="1"/>
    <col min="9424" max="9424" width="3.140625" style="4" customWidth="1"/>
    <col min="9425" max="9425" width="7" style="4" customWidth="1"/>
    <col min="9426" max="9426" width="2.42578125" style="4" customWidth="1"/>
    <col min="9427" max="9427" width="2.7109375" style="4" customWidth="1"/>
    <col min="9428" max="9430" width="2" style="4" customWidth="1"/>
    <col min="9431" max="9431" width="2.5703125" style="4" customWidth="1"/>
    <col min="9432" max="9432" width="2.7109375" style="4" customWidth="1"/>
    <col min="9433" max="9433" width="2.28515625" style="4" customWidth="1"/>
    <col min="9434" max="9434" width="2" style="4" customWidth="1"/>
    <col min="9435" max="9435" width="3.140625" style="4" customWidth="1"/>
    <col min="9436" max="9436" width="2" style="4" customWidth="1"/>
    <col min="9437" max="9437" width="8.85546875" style="4" customWidth="1"/>
    <col min="9438" max="9438" width="5.42578125" style="4" customWidth="1"/>
    <col min="9439" max="9440" width="0" style="4" hidden="1" customWidth="1"/>
    <col min="9441" max="9441" width="7.28515625" style="4" customWidth="1"/>
    <col min="9442" max="9442" width="10.5703125" style="4" customWidth="1"/>
    <col min="9443" max="9443" width="10.7109375" style="4" bestFit="1" customWidth="1"/>
    <col min="9444" max="9444" width="10.140625" style="4" customWidth="1"/>
    <col min="9445" max="9445" width="11.28515625" style="4" customWidth="1"/>
    <col min="9446" max="9459" width="10.140625" style="4" customWidth="1"/>
    <col min="9460" max="9460" width="10.140625" style="4" bestFit="1" customWidth="1"/>
    <col min="9461" max="9662" width="9.140625" style="4"/>
    <col min="9663" max="9663" width="3.7109375" style="4" customWidth="1"/>
    <col min="9664" max="9664" width="5" style="4" customWidth="1"/>
    <col min="9665" max="9665" width="13" style="4" customWidth="1"/>
    <col min="9666" max="9666" width="10.85546875" style="4" customWidth="1"/>
    <col min="9667" max="9667" width="2.85546875" style="4" customWidth="1"/>
    <col min="9668" max="9668" width="12.42578125" style="4" customWidth="1"/>
    <col min="9669" max="9669" width="2.28515625" style="4" customWidth="1"/>
    <col min="9670" max="9670" width="8.5703125" style="4" customWidth="1"/>
    <col min="9671" max="9671" width="5.28515625" style="4" customWidth="1"/>
    <col min="9672" max="9672" width="7.140625" style="4" customWidth="1"/>
    <col min="9673" max="9673" width="0" style="4" hidden="1" customWidth="1"/>
    <col min="9674" max="9674" width="8.7109375" style="4" customWidth="1"/>
    <col min="9675" max="9675" width="3" style="4" customWidth="1"/>
    <col min="9676" max="9677" width="2" style="4" customWidth="1"/>
    <col min="9678" max="9678" width="2.42578125" style="4" customWidth="1"/>
    <col min="9679" max="9679" width="2.85546875" style="4" customWidth="1"/>
    <col min="9680" max="9680" width="3.140625" style="4" customWidth="1"/>
    <col min="9681" max="9681" width="7" style="4" customWidth="1"/>
    <col min="9682" max="9682" width="2.42578125" style="4" customWidth="1"/>
    <col min="9683" max="9683" width="2.7109375" style="4" customWidth="1"/>
    <col min="9684" max="9686" width="2" style="4" customWidth="1"/>
    <col min="9687" max="9687" width="2.5703125" style="4" customWidth="1"/>
    <col min="9688" max="9688" width="2.7109375" style="4" customWidth="1"/>
    <col min="9689" max="9689" width="2.28515625" style="4" customWidth="1"/>
    <col min="9690" max="9690" width="2" style="4" customWidth="1"/>
    <col min="9691" max="9691" width="3.140625" style="4" customWidth="1"/>
    <col min="9692" max="9692" width="2" style="4" customWidth="1"/>
    <col min="9693" max="9693" width="8.85546875" style="4" customWidth="1"/>
    <col min="9694" max="9694" width="5.42578125" style="4" customWidth="1"/>
    <col min="9695" max="9696" width="0" style="4" hidden="1" customWidth="1"/>
    <col min="9697" max="9697" width="7.28515625" style="4" customWidth="1"/>
    <col min="9698" max="9698" width="10.5703125" style="4" customWidth="1"/>
    <col min="9699" max="9699" width="10.7109375" style="4" bestFit="1" customWidth="1"/>
    <col min="9700" max="9700" width="10.140625" style="4" customWidth="1"/>
    <col min="9701" max="9701" width="11.28515625" style="4" customWidth="1"/>
    <col min="9702" max="9715" width="10.140625" style="4" customWidth="1"/>
    <col min="9716" max="9716" width="10.140625" style="4" bestFit="1" customWidth="1"/>
    <col min="9717" max="9918" width="9.140625" style="4"/>
    <col min="9919" max="9919" width="3.7109375" style="4" customWidth="1"/>
    <col min="9920" max="9920" width="5" style="4" customWidth="1"/>
    <col min="9921" max="9921" width="13" style="4" customWidth="1"/>
    <col min="9922" max="9922" width="10.85546875" style="4" customWidth="1"/>
    <col min="9923" max="9923" width="2.85546875" style="4" customWidth="1"/>
    <col min="9924" max="9924" width="12.42578125" style="4" customWidth="1"/>
    <col min="9925" max="9925" width="2.28515625" style="4" customWidth="1"/>
    <col min="9926" max="9926" width="8.5703125" style="4" customWidth="1"/>
    <col min="9927" max="9927" width="5.28515625" style="4" customWidth="1"/>
    <col min="9928" max="9928" width="7.140625" style="4" customWidth="1"/>
    <col min="9929" max="9929" width="0" style="4" hidden="1" customWidth="1"/>
    <col min="9930" max="9930" width="8.7109375" style="4" customWidth="1"/>
    <col min="9931" max="9931" width="3" style="4" customWidth="1"/>
    <col min="9932" max="9933" width="2" style="4" customWidth="1"/>
    <col min="9934" max="9934" width="2.42578125" style="4" customWidth="1"/>
    <col min="9935" max="9935" width="2.85546875" style="4" customWidth="1"/>
    <col min="9936" max="9936" width="3.140625" style="4" customWidth="1"/>
    <col min="9937" max="9937" width="7" style="4" customWidth="1"/>
    <col min="9938" max="9938" width="2.42578125" style="4" customWidth="1"/>
    <col min="9939" max="9939" width="2.7109375" style="4" customWidth="1"/>
    <col min="9940" max="9942" width="2" style="4" customWidth="1"/>
    <col min="9943" max="9943" width="2.5703125" style="4" customWidth="1"/>
    <col min="9944" max="9944" width="2.7109375" style="4" customWidth="1"/>
    <col min="9945" max="9945" width="2.28515625" style="4" customWidth="1"/>
    <col min="9946" max="9946" width="2" style="4" customWidth="1"/>
    <col min="9947" max="9947" width="3.140625" style="4" customWidth="1"/>
    <col min="9948" max="9948" width="2" style="4" customWidth="1"/>
    <col min="9949" max="9949" width="8.85546875" style="4" customWidth="1"/>
    <col min="9950" max="9950" width="5.42578125" style="4" customWidth="1"/>
    <col min="9951" max="9952" width="0" style="4" hidden="1" customWidth="1"/>
    <col min="9953" max="9953" width="7.28515625" style="4" customWidth="1"/>
    <col min="9954" max="9954" width="10.5703125" style="4" customWidth="1"/>
    <col min="9955" max="9955" width="10.7109375" style="4" bestFit="1" customWidth="1"/>
    <col min="9956" max="9956" width="10.140625" style="4" customWidth="1"/>
    <col min="9957" max="9957" width="11.28515625" style="4" customWidth="1"/>
    <col min="9958" max="9971" width="10.140625" style="4" customWidth="1"/>
    <col min="9972" max="9972" width="10.140625" style="4" bestFit="1" customWidth="1"/>
    <col min="9973" max="10174" width="9.140625" style="4"/>
    <col min="10175" max="10175" width="3.7109375" style="4" customWidth="1"/>
    <col min="10176" max="10176" width="5" style="4" customWidth="1"/>
    <col min="10177" max="10177" width="13" style="4" customWidth="1"/>
    <col min="10178" max="10178" width="10.85546875" style="4" customWidth="1"/>
    <col min="10179" max="10179" width="2.85546875" style="4" customWidth="1"/>
    <col min="10180" max="10180" width="12.42578125" style="4" customWidth="1"/>
    <col min="10181" max="10181" width="2.28515625" style="4" customWidth="1"/>
    <col min="10182" max="10182" width="8.5703125" style="4" customWidth="1"/>
    <col min="10183" max="10183" width="5.28515625" style="4" customWidth="1"/>
    <col min="10184" max="10184" width="7.140625" style="4" customWidth="1"/>
    <col min="10185" max="10185" width="0" style="4" hidden="1" customWidth="1"/>
    <col min="10186" max="10186" width="8.7109375" style="4" customWidth="1"/>
    <col min="10187" max="10187" width="3" style="4" customWidth="1"/>
    <col min="10188" max="10189" width="2" style="4" customWidth="1"/>
    <col min="10190" max="10190" width="2.42578125" style="4" customWidth="1"/>
    <col min="10191" max="10191" width="2.85546875" style="4" customWidth="1"/>
    <col min="10192" max="10192" width="3.140625" style="4" customWidth="1"/>
    <col min="10193" max="10193" width="7" style="4" customWidth="1"/>
    <col min="10194" max="10194" width="2.42578125" style="4" customWidth="1"/>
    <col min="10195" max="10195" width="2.7109375" style="4" customWidth="1"/>
    <col min="10196" max="10198" width="2" style="4" customWidth="1"/>
    <col min="10199" max="10199" width="2.5703125" style="4" customWidth="1"/>
    <col min="10200" max="10200" width="2.7109375" style="4" customWidth="1"/>
    <col min="10201" max="10201" width="2.28515625" style="4" customWidth="1"/>
    <col min="10202" max="10202" width="2" style="4" customWidth="1"/>
    <col min="10203" max="10203" width="3.140625" style="4" customWidth="1"/>
    <col min="10204" max="10204" width="2" style="4" customWidth="1"/>
    <col min="10205" max="10205" width="8.85546875" style="4" customWidth="1"/>
    <col min="10206" max="10206" width="5.42578125" style="4" customWidth="1"/>
    <col min="10207" max="10208" width="0" style="4" hidden="1" customWidth="1"/>
    <col min="10209" max="10209" width="7.28515625" style="4" customWidth="1"/>
    <col min="10210" max="10210" width="10.5703125" style="4" customWidth="1"/>
    <col min="10211" max="10211" width="10.7109375" style="4" bestFit="1" customWidth="1"/>
    <col min="10212" max="10212" width="10.140625" style="4" customWidth="1"/>
    <col min="10213" max="10213" width="11.28515625" style="4" customWidth="1"/>
    <col min="10214" max="10227" width="10.140625" style="4" customWidth="1"/>
    <col min="10228" max="10228" width="10.140625" style="4" bestFit="1" customWidth="1"/>
    <col min="10229" max="10430" width="9.140625" style="4"/>
    <col min="10431" max="10431" width="3.7109375" style="4" customWidth="1"/>
    <col min="10432" max="10432" width="5" style="4" customWidth="1"/>
    <col min="10433" max="10433" width="13" style="4" customWidth="1"/>
    <col min="10434" max="10434" width="10.85546875" style="4" customWidth="1"/>
    <col min="10435" max="10435" width="2.85546875" style="4" customWidth="1"/>
    <col min="10436" max="10436" width="12.42578125" style="4" customWidth="1"/>
    <col min="10437" max="10437" width="2.28515625" style="4" customWidth="1"/>
    <col min="10438" max="10438" width="8.5703125" style="4" customWidth="1"/>
    <col min="10439" max="10439" width="5.28515625" style="4" customWidth="1"/>
    <col min="10440" max="10440" width="7.140625" style="4" customWidth="1"/>
    <col min="10441" max="10441" width="0" style="4" hidden="1" customWidth="1"/>
    <col min="10442" max="10442" width="8.7109375" style="4" customWidth="1"/>
    <col min="10443" max="10443" width="3" style="4" customWidth="1"/>
    <col min="10444" max="10445" width="2" style="4" customWidth="1"/>
    <col min="10446" max="10446" width="2.42578125" style="4" customWidth="1"/>
    <col min="10447" max="10447" width="2.85546875" style="4" customWidth="1"/>
    <col min="10448" max="10448" width="3.140625" style="4" customWidth="1"/>
    <col min="10449" max="10449" width="7" style="4" customWidth="1"/>
    <col min="10450" max="10450" width="2.42578125" style="4" customWidth="1"/>
    <col min="10451" max="10451" width="2.7109375" style="4" customWidth="1"/>
    <col min="10452" max="10454" width="2" style="4" customWidth="1"/>
    <col min="10455" max="10455" width="2.5703125" style="4" customWidth="1"/>
    <col min="10456" max="10456" width="2.7109375" style="4" customWidth="1"/>
    <col min="10457" max="10457" width="2.28515625" style="4" customWidth="1"/>
    <col min="10458" max="10458" width="2" style="4" customWidth="1"/>
    <col min="10459" max="10459" width="3.140625" style="4" customWidth="1"/>
    <col min="10460" max="10460" width="2" style="4" customWidth="1"/>
    <col min="10461" max="10461" width="8.85546875" style="4" customWidth="1"/>
    <col min="10462" max="10462" width="5.42578125" style="4" customWidth="1"/>
    <col min="10463" max="10464" width="0" style="4" hidden="1" customWidth="1"/>
    <col min="10465" max="10465" width="7.28515625" style="4" customWidth="1"/>
    <col min="10466" max="10466" width="10.5703125" style="4" customWidth="1"/>
    <col min="10467" max="10467" width="10.7109375" style="4" bestFit="1" customWidth="1"/>
    <col min="10468" max="10468" width="10.140625" style="4" customWidth="1"/>
    <col min="10469" max="10469" width="11.28515625" style="4" customWidth="1"/>
    <col min="10470" max="10483" width="10.140625" style="4" customWidth="1"/>
    <col min="10484" max="10484" width="10.140625" style="4" bestFit="1" customWidth="1"/>
    <col min="10485" max="10686" width="9.140625" style="4"/>
    <col min="10687" max="10687" width="3.7109375" style="4" customWidth="1"/>
    <col min="10688" max="10688" width="5" style="4" customWidth="1"/>
    <col min="10689" max="10689" width="13" style="4" customWidth="1"/>
    <col min="10690" max="10690" width="10.85546875" style="4" customWidth="1"/>
    <col min="10691" max="10691" width="2.85546875" style="4" customWidth="1"/>
    <col min="10692" max="10692" width="12.42578125" style="4" customWidth="1"/>
    <col min="10693" max="10693" width="2.28515625" style="4" customWidth="1"/>
    <col min="10694" max="10694" width="8.5703125" style="4" customWidth="1"/>
    <col min="10695" max="10695" width="5.28515625" style="4" customWidth="1"/>
    <col min="10696" max="10696" width="7.140625" style="4" customWidth="1"/>
    <col min="10697" max="10697" width="0" style="4" hidden="1" customWidth="1"/>
    <col min="10698" max="10698" width="8.7109375" style="4" customWidth="1"/>
    <col min="10699" max="10699" width="3" style="4" customWidth="1"/>
    <col min="10700" max="10701" width="2" style="4" customWidth="1"/>
    <col min="10702" max="10702" width="2.42578125" style="4" customWidth="1"/>
    <col min="10703" max="10703" width="2.85546875" style="4" customWidth="1"/>
    <col min="10704" max="10704" width="3.140625" style="4" customWidth="1"/>
    <col min="10705" max="10705" width="7" style="4" customWidth="1"/>
    <col min="10706" max="10706" width="2.42578125" style="4" customWidth="1"/>
    <col min="10707" max="10707" width="2.7109375" style="4" customWidth="1"/>
    <col min="10708" max="10710" width="2" style="4" customWidth="1"/>
    <col min="10711" max="10711" width="2.5703125" style="4" customWidth="1"/>
    <col min="10712" max="10712" width="2.7109375" style="4" customWidth="1"/>
    <col min="10713" max="10713" width="2.28515625" style="4" customWidth="1"/>
    <col min="10714" max="10714" width="2" style="4" customWidth="1"/>
    <col min="10715" max="10715" width="3.140625" style="4" customWidth="1"/>
    <col min="10716" max="10716" width="2" style="4" customWidth="1"/>
    <col min="10717" max="10717" width="8.85546875" style="4" customWidth="1"/>
    <col min="10718" max="10718" width="5.42578125" style="4" customWidth="1"/>
    <col min="10719" max="10720" width="0" style="4" hidden="1" customWidth="1"/>
    <col min="10721" max="10721" width="7.28515625" style="4" customWidth="1"/>
    <col min="10722" max="10722" width="10.5703125" style="4" customWidth="1"/>
    <col min="10723" max="10723" width="10.7109375" style="4" bestFit="1" customWidth="1"/>
    <col min="10724" max="10724" width="10.140625" style="4" customWidth="1"/>
    <col min="10725" max="10725" width="11.28515625" style="4" customWidth="1"/>
    <col min="10726" max="10739" width="10.140625" style="4" customWidth="1"/>
    <col min="10740" max="10740" width="10.140625" style="4" bestFit="1" customWidth="1"/>
    <col min="10741" max="10942" width="9.140625" style="4"/>
    <col min="10943" max="10943" width="3.7109375" style="4" customWidth="1"/>
    <col min="10944" max="10944" width="5" style="4" customWidth="1"/>
    <col min="10945" max="10945" width="13" style="4" customWidth="1"/>
    <col min="10946" max="10946" width="10.85546875" style="4" customWidth="1"/>
    <col min="10947" max="10947" width="2.85546875" style="4" customWidth="1"/>
    <col min="10948" max="10948" width="12.42578125" style="4" customWidth="1"/>
    <col min="10949" max="10949" width="2.28515625" style="4" customWidth="1"/>
    <col min="10950" max="10950" width="8.5703125" style="4" customWidth="1"/>
    <col min="10951" max="10951" width="5.28515625" style="4" customWidth="1"/>
    <col min="10952" max="10952" width="7.140625" style="4" customWidth="1"/>
    <col min="10953" max="10953" width="0" style="4" hidden="1" customWidth="1"/>
    <col min="10954" max="10954" width="8.7109375" style="4" customWidth="1"/>
    <col min="10955" max="10955" width="3" style="4" customWidth="1"/>
    <col min="10956" max="10957" width="2" style="4" customWidth="1"/>
    <col min="10958" max="10958" width="2.42578125" style="4" customWidth="1"/>
    <col min="10959" max="10959" width="2.85546875" style="4" customWidth="1"/>
    <col min="10960" max="10960" width="3.140625" style="4" customWidth="1"/>
    <col min="10961" max="10961" width="7" style="4" customWidth="1"/>
    <col min="10962" max="10962" width="2.42578125" style="4" customWidth="1"/>
    <col min="10963" max="10963" width="2.7109375" style="4" customWidth="1"/>
    <col min="10964" max="10966" width="2" style="4" customWidth="1"/>
    <col min="10967" max="10967" width="2.5703125" style="4" customWidth="1"/>
    <col min="10968" max="10968" width="2.7109375" style="4" customWidth="1"/>
    <col min="10969" max="10969" width="2.28515625" style="4" customWidth="1"/>
    <col min="10970" max="10970" width="2" style="4" customWidth="1"/>
    <col min="10971" max="10971" width="3.140625" style="4" customWidth="1"/>
    <col min="10972" max="10972" width="2" style="4" customWidth="1"/>
    <col min="10973" max="10973" width="8.85546875" style="4" customWidth="1"/>
    <col min="10974" max="10974" width="5.42578125" style="4" customWidth="1"/>
    <col min="10975" max="10976" width="0" style="4" hidden="1" customWidth="1"/>
    <col min="10977" max="10977" width="7.28515625" style="4" customWidth="1"/>
    <col min="10978" max="10978" width="10.5703125" style="4" customWidth="1"/>
    <col min="10979" max="10979" width="10.7109375" style="4" bestFit="1" customWidth="1"/>
    <col min="10980" max="10980" width="10.140625" style="4" customWidth="1"/>
    <col min="10981" max="10981" width="11.28515625" style="4" customWidth="1"/>
    <col min="10982" max="10995" width="10.140625" style="4" customWidth="1"/>
    <col min="10996" max="10996" width="10.140625" style="4" bestFit="1" customWidth="1"/>
    <col min="10997" max="11198" width="9.140625" style="4"/>
    <col min="11199" max="11199" width="3.7109375" style="4" customWidth="1"/>
    <col min="11200" max="11200" width="5" style="4" customWidth="1"/>
    <col min="11201" max="11201" width="13" style="4" customWidth="1"/>
    <col min="11202" max="11202" width="10.85546875" style="4" customWidth="1"/>
    <col min="11203" max="11203" width="2.85546875" style="4" customWidth="1"/>
    <col min="11204" max="11204" width="12.42578125" style="4" customWidth="1"/>
    <col min="11205" max="11205" width="2.28515625" style="4" customWidth="1"/>
    <col min="11206" max="11206" width="8.5703125" style="4" customWidth="1"/>
    <col min="11207" max="11207" width="5.28515625" style="4" customWidth="1"/>
    <col min="11208" max="11208" width="7.140625" style="4" customWidth="1"/>
    <col min="11209" max="11209" width="0" style="4" hidden="1" customWidth="1"/>
    <col min="11210" max="11210" width="8.7109375" style="4" customWidth="1"/>
    <col min="11211" max="11211" width="3" style="4" customWidth="1"/>
    <col min="11212" max="11213" width="2" style="4" customWidth="1"/>
    <col min="11214" max="11214" width="2.42578125" style="4" customWidth="1"/>
    <col min="11215" max="11215" width="2.85546875" style="4" customWidth="1"/>
    <col min="11216" max="11216" width="3.140625" style="4" customWidth="1"/>
    <col min="11217" max="11217" width="7" style="4" customWidth="1"/>
    <col min="11218" max="11218" width="2.42578125" style="4" customWidth="1"/>
    <col min="11219" max="11219" width="2.7109375" style="4" customWidth="1"/>
    <col min="11220" max="11222" width="2" style="4" customWidth="1"/>
    <col min="11223" max="11223" width="2.5703125" style="4" customWidth="1"/>
    <col min="11224" max="11224" width="2.7109375" style="4" customWidth="1"/>
    <col min="11225" max="11225" width="2.28515625" style="4" customWidth="1"/>
    <col min="11226" max="11226" width="2" style="4" customWidth="1"/>
    <col min="11227" max="11227" width="3.140625" style="4" customWidth="1"/>
    <col min="11228" max="11228" width="2" style="4" customWidth="1"/>
    <col min="11229" max="11229" width="8.85546875" style="4" customWidth="1"/>
    <col min="11230" max="11230" width="5.42578125" style="4" customWidth="1"/>
    <col min="11231" max="11232" width="0" style="4" hidden="1" customWidth="1"/>
    <col min="11233" max="11233" width="7.28515625" style="4" customWidth="1"/>
    <col min="11234" max="11234" width="10.5703125" style="4" customWidth="1"/>
    <col min="11235" max="11235" width="10.7109375" style="4" bestFit="1" customWidth="1"/>
    <col min="11236" max="11236" width="10.140625" style="4" customWidth="1"/>
    <col min="11237" max="11237" width="11.28515625" style="4" customWidth="1"/>
    <col min="11238" max="11251" width="10.140625" style="4" customWidth="1"/>
    <col min="11252" max="11252" width="10.140625" style="4" bestFit="1" customWidth="1"/>
    <col min="11253" max="11454" width="9.140625" style="4"/>
    <col min="11455" max="11455" width="3.7109375" style="4" customWidth="1"/>
    <col min="11456" max="11456" width="5" style="4" customWidth="1"/>
    <col min="11457" max="11457" width="13" style="4" customWidth="1"/>
    <col min="11458" max="11458" width="10.85546875" style="4" customWidth="1"/>
    <col min="11459" max="11459" width="2.85546875" style="4" customWidth="1"/>
    <col min="11460" max="11460" width="12.42578125" style="4" customWidth="1"/>
    <col min="11461" max="11461" width="2.28515625" style="4" customWidth="1"/>
    <col min="11462" max="11462" width="8.5703125" style="4" customWidth="1"/>
    <col min="11463" max="11463" width="5.28515625" style="4" customWidth="1"/>
    <col min="11464" max="11464" width="7.140625" style="4" customWidth="1"/>
    <col min="11465" max="11465" width="0" style="4" hidden="1" customWidth="1"/>
    <col min="11466" max="11466" width="8.7109375" style="4" customWidth="1"/>
    <col min="11467" max="11467" width="3" style="4" customWidth="1"/>
    <col min="11468" max="11469" width="2" style="4" customWidth="1"/>
    <col min="11470" max="11470" width="2.42578125" style="4" customWidth="1"/>
    <col min="11471" max="11471" width="2.85546875" style="4" customWidth="1"/>
    <col min="11472" max="11472" width="3.140625" style="4" customWidth="1"/>
    <col min="11473" max="11473" width="7" style="4" customWidth="1"/>
    <col min="11474" max="11474" width="2.42578125" style="4" customWidth="1"/>
    <col min="11475" max="11475" width="2.7109375" style="4" customWidth="1"/>
    <col min="11476" max="11478" width="2" style="4" customWidth="1"/>
    <col min="11479" max="11479" width="2.5703125" style="4" customWidth="1"/>
    <col min="11480" max="11480" width="2.7109375" style="4" customWidth="1"/>
    <col min="11481" max="11481" width="2.28515625" style="4" customWidth="1"/>
    <col min="11482" max="11482" width="2" style="4" customWidth="1"/>
    <col min="11483" max="11483" width="3.140625" style="4" customWidth="1"/>
    <col min="11484" max="11484" width="2" style="4" customWidth="1"/>
    <col min="11485" max="11485" width="8.85546875" style="4" customWidth="1"/>
    <col min="11486" max="11486" width="5.42578125" style="4" customWidth="1"/>
    <col min="11487" max="11488" width="0" style="4" hidden="1" customWidth="1"/>
    <col min="11489" max="11489" width="7.28515625" style="4" customWidth="1"/>
    <col min="11490" max="11490" width="10.5703125" style="4" customWidth="1"/>
    <col min="11491" max="11491" width="10.7109375" style="4" bestFit="1" customWidth="1"/>
    <col min="11492" max="11492" width="10.140625" style="4" customWidth="1"/>
    <col min="11493" max="11493" width="11.28515625" style="4" customWidth="1"/>
    <col min="11494" max="11507" width="10.140625" style="4" customWidth="1"/>
    <col min="11508" max="11508" width="10.140625" style="4" bestFit="1" customWidth="1"/>
    <col min="11509" max="11710" width="9.140625" style="4"/>
    <col min="11711" max="11711" width="3.7109375" style="4" customWidth="1"/>
    <col min="11712" max="11712" width="5" style="4" customWidth="1"/>
    <col min="11713" max="11713" width="13" style="4" customWidth="1"/>
    <col min="11714" max="11714" width="10.85546875" style="4" customWidth="1"/>
    <col min="11715" max="11715" width="2.85546875" style="4" customWidth="1"/>
    <col min="11716" max="11716" width="12.42578125" style="4" customWidth="1"/>
    <col min="11717" max="11717" width="2.28515625" style="4" customWidth="1"/>
    <col min="11718" max="11718" width="8.5703125" style="4" customWidth="1"/>
    <col min="11719" max="11719" width="5.28515625" style="4" customWidth="1"/>
    <col min="11720" max="11720" width="7.140625" style="4" customWidth="1"/>
    <col min="11721" max="11721" width="0" style="4" hidden="1" customWidth="1"/>
    <col min="11722" max="11722" width="8.7109375" style="4" customWidth="1"/>
    <col min="11723" max="11723" width="3" style="4" customWidth="1"/>
    <col min="11724" max="11725" width="2" style="4" customWidth="1"/>
    <col min="11726" max="11726" width="2.42578125" style="4" customWidth="1"/>
    <col min="11727" max="11727" width="2.85546875" style="4" customWidth="1"/>
    <col min="11728" max="11728" width="3.140625" style="4" customWidth="1"/>
    <col min="11729" max="11729" width="7" style="4" customWidth="1"/>
    <col min="11730" max="11730" width="2.42578125" style="4" customWidth="1"/>
    <col min="11731" max="11731" width="2.7109375" style="4" customWidth="1"/>
    <col min="11732" max="11734" width="2" style="4" customWidth="1"/>
    <col min="11735" max="11735" width="2.5703125" style="4" customWidth="1"/>
    <col min="11736" max="11736" width="2.7109375" style="4" customWidth="1"/>
    <col min="11737" max="11737" width="2.28515625" style="4" customWidth="1"/>
    <col min="11738" max="11738" width="2" style="4" customWidth="1"/>
    <col min="11739" max="11739" width="3.140625" style="4" customWidth="1"/>
    <col min="11740" max="11740" width="2" style="4" customWidth="1"/>
    <col min="11741" max="11741" width="8.85546875" style="4" customWidth="1"/>
    <col min="11742" max="11742" width="5.42578125" style="4" customWidth="1"/>
    <col min="11743" max="11744" width="0" style="4" hidden="1" customWidth="1"/>
    <col min="11745" max="11745" width="7.28515625" style="4" customWidth="1"/>
    <col min="11746" max="11746" width="10.5703125" style="4" customWidth="1"/>
    <col min="11747" max="11747" width="10.7109375" style="4" bestFit="1" customWidth="1"/>
    <col min="11748" max="11748" width="10.140625" style="4" customWidth="1"/>
    <col min="11749" max="11749" width="11.28515625" style="4" customWidth="1"/>
    <col min="11750" max="11763" width="10.140625" style="4" customWidth="1"/>
    <col min="11764" max="11764" width="10.140625" style="4" bestFit="1" customWidth="1"/>
    <col min="11765" max="11966" width="9.140625" style="4"/>
    <col min="11967" max="11967" width="3.7109375" style="4" customWidth="1"/>
    <col min="11968" max="11968" width="5" style="4" customWidth="1"/>
    <col min="11969" max="11969" width="13" style="4" customWidth="1"/>
    <col min="11970" max="11970" width="10.85546875" style="4" customWidth="1"/>
    <col min="11971" max="11971" width="2.85546875" style="4" customWidth="1"/>
    <col min="11972" max="11972" width="12.42578125" style="4" customWidth="1"/>
    <col min="11973" max="11973" width="2.28515625" style="4" customWidth="1"/>
    <col min="11974" max="11974" width="8.5703125" style="4" customWidth="1"/>
    <col min="11975" max="11975" width="5.28515625" style="4" customWidth="1"/>
    <col min="11976" max="11976" width="7.140625" style="4" customWidth="1"/>
    <col min="11977" max="11977" width="0" style="4" hidden="1" customWidth="1"/>
    <col min="11978" max="11978" width="8.7109375" style="4" customWidth="1"/>
    <col min="11979" max="11979" width="3" style="4" customWidth="1"/>
    <col min="11980" max="11981" width="2" style="4" customWidth="1"/>
    <col min="11982" max="11982" width="2.42578125" style="4" customWidth="1"/>
    <col min="11983" max="11983" width="2.85546875" style="4" customWidth="1"/>
    <col min="11984" max="11984" width="3.140625" style="4" customWidth="1"/>
    <col min="11985" max="11985" width="7" style="4" customWidth="1"/>
    <col min="11986" max="11986" width="2.42578125" style="4" customWidth="1"/>
    <col min="11987" max="11987" width="2.7109375" style="4" customWidth="1"/>
    <col min="11988" max="11990" width="2" style="4" customWidth="1"/>
    <col min="11991" max="11991" width="2.5703125" style="4" customWidth="1"/>
    <col min="11992" max="11992" width="2.7109375" style="4" customWidth="1"/>
    <col min="11993" max="11993" width="2.28515625" style="4" customWidth="1"/>
    <col min="11994" max="11994" width="2" style="4" customWidth="1"/>
    <col min="11995" max="11995" width="3.140625" style="4" customWidth="1"/>
    <col min="11996" max="11996" width="2" style="4" customWidth="1"/>
    <col min="11997" max="11997" width="8.85546875" style="4" customWidth="1"/>
    <col min="11998" max="11998" width="5.42578125" style="4" customWidth="1"/>
    <col min="11999" max="12000" width="0" style="4" hidden="1" customWidth="1"/>
    <col min="12001" max="12001" width="7.28515625" style="4" customWidth="1"/>
    <col min="12002" max="12002" width="10.5703125" style="4" customWidth="1"/>
    <col min="12003" max="12003" width="10.7109375" style="4" bestFit="1" customWidth="1"/>
    <col min="12004" max="12004" width="10.140625" style="4" customWidth="1"/>
    <col min="12005" max="12005" width="11.28515625" style="4" customWidth="1"/>
    <col min="12006" max="12019" width="10.140625" style="4" customWidth="1"/>
    <col min="12020" max="12020" width="10.140625" style="4" bestFit="1" customWidth="1"/>
    <col min="12021" max="12222" width="9.140625" style="4"/>
    <col min="12223" max="12223" width="3.7109375" style="4" customWidth="1"/>
    <col min="12224" max="12224" width="5" style="4" customWidth="1"/>
    <col min="12225" max="12225" width="13" style="4" customWidth="1"/>
    <col min="12226" max="12226" width="10.85546875" style="4" customWidth="1"/>
    <col min="12227" max="12227" width="2.85546875" style="4" customWidth="1"/>
    <col min="12228" max="12228" width="12.42578125" style="4" customWidth="1"/>
    <col min="12229" max="12229" width="2.28515625" style="4" customWidth="1"/>
    <col min="12230" max="12230" width="8.5703125" style="4" customWidth="1"/>
    <col min="12231" max="12231" width="5.28515625" style="4" customWidth="1"/>
    <col min="12232" max="12232" width="7.140625" style="4" customWidth="1"/>
    <col min="12233" max="12233" width="0" style="4" hidden="1" customWidth="1"/>
    <col min="12234" max="12234" width="8.7109375" style="4" customWidth="1"/>
    <col min="12235" max="12235" width="3" style="4" customWidth="1"/>
    <col min="12236" max="12237" width="2" style="4" customWidth="1"/>
    <col min="12238" max="12238" width="2.42578125" style="4" customWidth="1"/>
    <col min="12239" max="12239" width="2.85546875" style="4" customWidth="1"/>
    <col min="12240" max="12240" width="3.140625" style="4" customWidth="1"/>
    <col min="12241" max="12241" width="7" style="4" customWidth="1"/>
    <col min="12242" max="12242" width="2.42578125" style="4" customWidth="1"/>
    <col min="12243" max="12243" width="2.7109375" style="4" customWidth="1"/>
    <col min="12244" max="12246" width="2" style="4" customWidth="1"/>
    <col min="12247" max="12247" width="2.5703125" style="4" customWidth="1"/>
    <col min="12248" max="12248" width="2.7109375" style="4" customWidth="1"/>
    <col min="12249" max="12249" width="2.28515625" style="4" customWidth="1"/>
    <col min="12250" max="12250" width="2" style="4" customWidth="1"/>
    <col min="12251" max="12251" width="3.140625" style="4" customWidth="1"/>
    <col min="12252" max="12252" width="2" style="4" customWidth="1"/>
    <col min="12253" max="12253" width="8.85546875" style="4" customWidth="1"/>
    <col min="12254" max="12254" width="5.42578125" style="4" customWidth="1"/>
    <col min="12255" max="12256" width="0" style="4" hidden="1" customWidth="1"/>
    <col min="12257" max="12257" width="7.28515625" style="4" customWidth="1"/>
    <col min="12258" max="12258" width="10.5703125" style="4" customWidth="1"/>
    <col min="12259" max="12259" width="10.7109375" style="4" bestFit="1" customWidth="1"/>
    <col min="12260" max="12260" width="10.140625" style="4" customWidth="1"/>
    <col min="12261" max="12261" width="11.28515625" style="4" customWidth="1"/>
    <col min="12262" max="12275" width="10.140625" style="4" customWidth="1"/>
    <col min="12276" max="12276" width="10.140625" style="4" bestFit="1" customWidth="1"/>
    <col min="12277" max="12478" width="9.140625" style="4"/>
    <col min="12479" max="12479" width="3.7109375" style="4" customWidth="1"/>
    <col min="12480" max="12480" width="5" style="4" customWidth="1"/>
    <col min="12481" max="12481" width="13" style="4" customWidth="1"/>
    <col min="12482" max="12482" width="10.85546875" style="4" customWidth="1"/>
    <col min="12483" max="12483" width="2.85546875" style="4" customWidth="1"/>
    <col min="12484" max="12484" width="12.42578125" style="4" customWidth="1"/>
    <col min="12485" max="12485" width="2.28515625" style="4" customWidth="1"/>
    <col min="12486" max="12486" width="8.5703125" style="4" customWidth="1"/>
    <col min="12487" max="12487" width="5.28515625" style="4" customWidth="1"/>
    <col min="12488" max="12488" width="7.140625" style="4" customWidth="1"/>
    <col min="12489" max="12489" width="0" style="4" hidden="1" customWidth="1"/>
    <col min="12490" max="12490" width="8.7109375" style="4" customWidth="1"/>
    <col min="12491" max="12491" width="3" style="4" customWidth="1"/>
    <col min="12492" max="12493" width="2" style="4" customWidth="1"/>
    <col min="12494" max="12494" width="2.42578125" style="4" customWidth="1"/>
    <col min="12495" max="12495" width="2.85546875" style="4" customWidth="1"/>
    <col min="12496" max="12496" width="3.140625" style="4" customWidth="1"/>
    <col min="12497" max="12497" width="7" style="4" customWidth="1"/>
    <col min="12498" max="12498" width="2.42578125" style="4" customWidth="1"/>
    <col min="12499" max="12499" width="2.7109375" style="4" customWidth="1"/>
    <col min="12500" max="12502" width="2" style="4" customWidth="1"/>
    <col min="12503" max="12503" width="2.5703125" style="4" customWidth="1"/>
    <col min="12504" max="12504" width="2.7109375" style="4" customWidth="1"/>
    <col min="12505" max="12505" width="2.28515625" style="4" customWidth="1"/>
    <col min="12506" max="12506" width="2" style="4" customWidth="1"/>
    <col min="12507" max="12507" width="3.140625" style="4" customWidth="1"/>
    <col min="12508" max="12508" width="2" style="4" customWidth="1"/>
    <col min="12509" max="12509" width="8.85546875" style="4" customWidth="1"/>
    <col min="12510" max="12510" width="5.42578125" style="4" customWidth="1"/>
    <col min="12511" max="12512" width="0" style="4" hidden="1" customWidth="1"/>
    <col min="12513" max="12513" width="7.28515625" style="4" customWidth="1"/>
    <col min="12514" max="12514" width="10.5703125" style="4" customWidth="1"/>
    <col min="12515" max="12515" width="10.7109375" style="4" bestFit="1" customWidth="1"/>
    <col min="12516" max="12516" width="10.140625" style="4" customWidth="1"/>
    <col min="12517" max="12517" width="11.28515625" style="4" customWidth="1"/>
    <col min="12518" max="12531" width="10.140625" style="4" customWidth="1"/>
    <col min="12532" max="12532" width="10.140625" style="4" bestFit="1" customWidth="1"/>
    <col min="12533" max="12734" width="9.140625" style="4"/>
    <col min="12735" max="12735" width="3.7109375" style="4" customWidth="1"/>
    <col min="12736" max="12736" width="5" style="4" customWidth="1"/>
    <col min="12737" max="12737" width="13" style="4" customWidth="1"/>
    <col min="12738" max="12738" width="10.85546875" style="4" customWidth="1"/>
    <col min="12739" max="12739" width="2.85546875" style="4" customWidth="1"/>
    <col min="12740" max="12740" width="12.42578125" style="4" customWidth="1"/>
    <col min="12741" max="12741" width="2.28515625" style="4" customWidth="1"/>
    <col min="12742" max="12742" width="8.5703125" style="4" customWidth="1"/>
    <col min="12743" max="12743" width="5.28515625" style="4" customWidth="1"/>
    <col min="12744" max="12744" width="7.140625" style="4" customWidth="1"/>
    <col min="12745" max="12745" width="0" style="4" hidden="1" customWidth="1"/>
    <col min="12746" max="12746" width="8.7109375" style="4" customWidth="1"/>
    <col min="12747" max="12747" width="3" style="4" customWidth="1"/>
    <col min="12748" max="12749" width="2" style="4" customWidth="1"/>
    <col min="12750" max="12750" width="2.42578125" style="4" customWidth="1"/>
    <col min="12751" max="12751" width="2.85546875" style="4" customWidth="1"/>
    <col min="12752" max="12752" width="3.140625" style="4" customWidth="1"/>
    <col min="12753" max="12753" width="7" style="4" customWidth="1"/>
    <col min="12754" max="12754" width="2.42578125" style="4" customWidth="1"/>
    <col min="12755" max="12755" width="2.7109375" style="4" customWidth="1"/>
    <col min="12756" max="12758" width="2" style="4" customWidth="1"/>
    <col min="12759" max="12759" width="2.5703125" style="4" customWidth="1"/>
    <col min="12760" max="12760" width="2.7109375" style="4" customWidth="1"/>
    <col min="12761" max="12761" width="2.28515625" style="4" customWidth="1"/>
    <col min="12762" max="12762" width="2" style="4" customWidth="1"/>
    <col min="12763" max="12763" width="3.140625" style="4" customWidth="1"/>
    <col min="12764" max="12764" width="2" style="4" customWidth="1"/>
    <col min="12765" max="12765" width="8.85546875" style="4" customWidth="1"/>
    <col min="12766" max="12766" width="5.42578125" style="4" customWidth="1"/>
    <col min="12767" max="12768" width="0" style="4" hidden="1" customWidth="1"/>
    <col min="12769" max="12769" width="7.28515625" style="4" customWidth="1"/>
    <col min="12770" max="12770" width="10.5703125" style="4" customWidth="1"/>
    <col min="12771" max="12771" width="10.7109375" style="4" bestFit="1" customWidth="1"/>
    <col min="12772" max="12772" width="10.140625" style="4" customWidth="1"/>
    <col min="12773" max="12773" width="11.28515625" style="4" customWidth="1"/>
    <col min="12774" max="12787" width="10.140625" style="4" customWidth="1"/>
    <col min="12788" max="12788" width="10.140625" style="4" bestFit="1" customWidth="1"/>
    <col min="12789" max="12990" width="9.140625" style="4"/>
    <col min="12991" max="12991" width="3.7109375" style="4" customWidth="1"/>
    <col min="12992" max="12992" width="5" style="4" customWidth="1"/>
    <col min="12993" max="12993" width="13" style="4" customWidth="1"/>
    <col min="12994" max="12994" width="10.85546875" style="4" customWidth="1"/>
    <col min="12995" max="12995" width="2.85546875" style="4" customWidth="1"/>
    <col min="12996" max="12996" width="12.42578125" style="4" customWidth="1"/>
    <col min="12997" max="12997" width="2.28515625" style="4" customWidth="1"/>
    <col min="12998" max="12998" width="8.5703125" style="4" customWidth="1"/>
    <col min="12999" max="12999" width="5.28515625" style="4" customWidth="1"/>
    <col min="13000" max="13000" width="7.140625" style="4" customWidth="1"/>
    <col min="13001" max="13001" width="0" style="4" hidden="1" customWidth="1"/>
    <col min="13002" max="13002" width="8.7109375" style="4" customWidth="1"/>
    <col min="13003" max="13003" width="3" style="4" customWidth="1"/>
    <col min="13004" max="13005" width="2" style="4" customWidth="1"/>
    <col min="13006" max="13006" width="2.42578125" style="4" customWidth="1"/>
    <col min="13007" max="13007" width="2.85546875" style="4" customWidth="1"/>
    <col min="13008" max="13008" width="3.140625" style="4" customWidth="1"/>
    <col min="13009" max="13009" width="7" style="4" customWidth="1"/>
    <col min="13010" max="13010" width="2.42578125" style="4" customWidth="1"/>
    <col min="13011" max="13011" width="2.7109375" style="4" customWidth="1"/>
    <col min="13012" max="13014" width="2" style="4" customWidth="1"/>
    <col min="13015" max="13015" width="2.5703125" style="4" customWidth="1"/>
    <col min="13016" max="13016" width="2.7109375" style="4" customWidth="1"/>
    <col min="13017" max="13017" width="2.28515625" style="4" customWidth="1"/>
    <col min="13018" max="13018" width="2" style="4" customWidth="1"/>
    <col min="13019" max="13019" width="3.140625" style="4" customWidth="1"/>
    <col min="13020" max="13020" width="2" style="4" customWidth="1"/>
    <col min="13021" max="13021" width="8.85546875" style="4" customWidth="1"/>
    <col min="13022" max="13022" width="5.42578125" style="4" customWidth="1"/>
    <col min="13023" max="13024" width="0" style="4" hidden="1" customWidth="1"/>
    <col min="13025" max="13025" width="7.28515625" style="4" customWidth="1"/>
    <col min="13026" max="13026" width="10.5703125" style="4" customWidth="1"/>
    <col min="13027" max="13027" width="10.7109375" style="4" bestFit="1" customWidth="1"/>
    <col min="13028" max="13028" width="10.140625" style="4" customWidth="1"/>
    <col min="13029" max="13029" width="11.28515625" style="4" customWidth="1"/>
    <col min="13030" max="13043" width="10.140625" style="4" customWidth="1"/>
    <col min="13044" max="13044" width="10.140625" style="4" bestFit="1" customWidth="1"/>
    <col min="13045" max="13246" width="9.140625" style="4"/>
    <col min="13247" max="13247" width="3.7109375" style="4" customWidth="1"/>
    <col min="13248" max="13248" width="5" style="4" customWidth="1"/>
    <col min="13249" max="13249" width="13" style="4" customWidth="1"/>
    <col min="13250" max="13250" width="10.85546875" style="4" customWidth="1"/>
    <col min="13251" max="13251" width="2.85546875" style="4" customWidth="1"/>
    <col min="13252" max="13252" width="12.42578125" style="4" customWidth="1"/>
    <col min="13253" max="13253" width="2.28515625" style="4" customWidth="1"/>
    <col min="13254" max="13254" width="8.5703125" style="4" customWidth="1"/>
    <col min="13255" max="13255" width="5.28515625" style="4" customWidth="1"/>
    <col min="13256" max="13256" width="7.140625" style="4" customWidth="1"/>
    <col min="13257" max="13257" width="0" style="4" hidden="1" customWidth="1"/>
    <col min="13258" max="13258" width="8.7109375" style="4" customWidth="1"/>
    <col min="13259" max="13259" width="3" style="4" customWidth="1"/>
    <col min="13260" max="13261" width="2" style="4" customWidth="1"/>
    <col min="13262" max="13262" width="2.42578125" style="4" customWidth="1"/>
    <col min="13263" max="13263" width="2.85546875" style="4" customWidth="1"/>
    <col min="13264" max="13264" width="3.140625" style="4" customWidth="1"/>
    <col min="13265" max="13265" width="7" style="4" customWidth="1"/>
    <col min="13266" max="13266" width="2.42578125" style="4" customWidth="1"/>
    <col min="13267" max="13267" width="2.7109375" style="4" customWidth="1"/>
    <col min="13268" max="13270" width="2" style="4" customWidth="1"/>
    <col min="13271" max="13271" width="2.5703125" style="4" customWidth="1"/>
    <col min="13272" max="13272" width="2.7109375" style="4" customWidth="1"/>
    <col min="13273" max="13273" width="2.28515625" style="4" customWidth="1"/>
    <col min="13274" max="13274" width="2" style="4" customWidth="1"/>
    <col min="13275" max="13275" width="3.140625" style="4" customWidth="1"/>
    <col min="13276" max="13276" width="2" style="4" customWidth="1"/>
    <col min="13277" max="13277" width="8.85546875" style="4" customWidth="1"/>
    <col min="13278" max="13278" width="5.42578125" style="4" customWidth="1"/>
    <col min="13279" max="13280" width="0" style="4" hidden="1" customWidth="1"/>
    <col min="13281" max="13281" width="7.28515625" style="4" customWidth="1"/>
    <col min="13282" max="13282" width="10.5703125" style="4" customWidth="1"/>
    <col min="13283" max="13283" width="10.7109375" style="4" bestFit="1" customWidth="1"/>
    <col min="13284" max="13284" width="10.140625" style="4" customWidth="1"/>
    <col min="13285" max="13285" width="11.28515625" style="4" customWidth="1"/>
    <col min="13286" max="13299" width="10.140625" style="4" customWidth="1"/>
    <col min="13300" max="13300" width="10.140625" style="4" bestFit="1" customWidth="1"/>
    <col min="13301" max="13502" width="9.140625" style="4"/>
    <col min="13503" max="13503" width="3.7109375" style="4" customWidth="1"/>
    <col min="13504" max="13504" width="5" style="4" customWidth="1"/>
    <col min="13505" max="13505" width="13" style="4" customWidth="1"/>
    <col min="13506" max="13506" width="10.85546875" style="4" customWidth="1"/>
    <col min="13507" max="13507" width="2.85546875" style="4" customWidth="1"/>
    <col min="13508" max="13508" width="12.42578125" style="4" customWidth="1"/>
    <col min="13509" max="13509" width="2.28515625" style="4" customWidth="1"/>
    <col min="13510" max="13510" width="8.5703125" style="4" customWidth="1"/>
    <col min="13511" max="13511" width="5.28515625" style="4" customWidth="1"/>
    <col min="13512" max="13512" width="7.140625" style="4" customWidth="1"/>
    <col min="13513" max="13513" width="0" style="4" hidden="1" customWidth="1"/>
    <col min="13514" max="13514" width="8.7109375" style="4" customWidth="1"/>
    <col min="13515" max="13515" width="3" style="4" customWidth="1"/>
    <col min="13516" max="13517" width="2" style="4" customWidth="1"/>
    <col min="13518" max="13518" width="2.42578125" style="4" customWidth="1"/>
    <col min="13519" max="13519" width="2.85546875" style="4" customWidth="1"/>
    <col min="13520" max="13520" width="3.140625" style="4" customWidth="1"/>
    <col min="13521" max="13521" width="7" style="4" customWidth="1"/>
    <col min="13522" max="13522" width="2.42578125" style="4" customWidth="1"/>
    <col min="13523" max="13523" width="2.7109375" style="4" customWidth="1"/>
    <col min="13524" max="13526" width="2" style="4" customWidth="1"/>
    <col min="13527" max="13527" width="2.5703125" style="4" customWidth="1"/>
    <col min="13528" max="13528" width="2.7109375" style="4" customWidth="1"/>
    <col min="13529" max="13529" width="2.28515625" style="4" customWidth="1"/>
    <col min="13530" max="13530" width="2" style="4" customWidth="1"/>
    <col min="13531" max="13531" width="3.140625" style="4" customWidth="1"/>
    <col min="13532" max="13532" width="2" style="4" customWidth="1"/>
    <col min="13533" max="13533" width="8.85546875" style="4" customWidth="1"/>
    <col min="13534" max="13534" width="5.42578125" style="4" customWidth="1"/>
    <col min="13535" max="13536" width="0" style="4" hidden="1" customWidth="1"/>
    <col min="13537" max="13537" width="7.28515625" style="4" customWidth="1"/>
    <col min="13538" max="13538" width="10.5703125" style="4" customWidth="1"/>
    <col min="13539" max="13539" width="10.7109375" style="4" bestFit="1" customWidth="1"/>
    <col min="13540" max="13540" width="10.140625" style="4" customWidth="1"/>
    <col min="13541" max="13541" width="11.28515625" style="4" customWidth="1"/>
    <col min="13542" max="13555" width="10.140625" style="4" customWidth="1"/>
    <col min="13556" max="13556" width="10.140625" style="4" bestFit="1" customWidth="1"/>
    <col min="13557" max="13758" width="9.140625" style="4"/>
    <col min="13759" max="13759" width="3.7109375" style="4" customWidth="1"/>
    <col min="13760" max="13760" width="5" style="4" customWidth="1"/>
    <col min="13761" max="13761" width="13" style="4" customWidth="1"/>
    <col min="13762" max="13762" width="10.85546875" style="4" customWidth="1"/>
    <col min="13763" max="13763" width="2.85546875" style="4" customWidth="1"/>
    <col min="13764" max="13764" width="12.42578125" style="4" customWidth="1"/>
    <col min="13765" max="13765" width="2.28515625" style="4" customWidth="1"/>
    <col min="13766" max="13766" width="8.5703125" style="4" customWidth="1"/>
    <col min="13767" max="13767" width="5.28515625" style="4" customWidth="1"/>
    <col min="13768" max="13768" width="7.140625" style="4" customWidth="1"/>
    <col min="13769" max="13769" width="0" style="4" hidden="1" customWidth="1"/>
    <col min="13770" max="13770" width="8.7109375" style="4" customWidth="1"/>
    <col min="13771" max="13771" width="3" style="4" customWidth="1"/>
    <col min="13772" max="13773" width="2" style="4" customWidth="1"/>
    <col min="13774" max="13774" width="2.42578125" style="4" customWidth="1"/>
    <col min="13775" max="13775" width="2.85546875" style="4" customWidth="1"/>
    <col min="13776" max="13776" width="3.140625" style="4" customWidth="1"/>
    <col min="13777" max="13777" width="7" style="4" customWidth="1"/>
    <col min="13778" max="13778" width="2.42578125" style="4" customWidth="1"/>
    <col min="13779" max="13779" width="2.7109375" style="4" customWidth="1"/>
    <col min="13780" max="13782" width="2" style="4" customWidth="1"/>
    <col min="13783" max="13783" width="2.5703125" style="4" customWidth="1"/>
    <col min="13784" max="13784" width="2.7109375" style="4" customWidth="1"/>
    <col min="13785" max="13785" width="2.28515625" style="4" customWidth="1"/>
    <col min="13786" max="13786" width="2" style="4" customWidth="1"/>
    <col min="13787" max="13787" width="3.140625" style="4" customWidth="1"/>
    <col min="13788" max="13788" width="2" style="4" customWidth="1"/>
    <col min="13789" max="13789" width="8.85546875" style="4" customWidth="1"/>
    <col min="13790" max="13790" width="5.42578125" style="4" customWidth="1"/>
    <col min="13791" max="13792" width="0" style="4" hidden="1" customWidth="1"/>
    <col min="13793" max="13793" width="7.28515625" style="4" customWidth="1"/>
    <col min="13794" max="13794" width="10.5703125" style="4" customWidth="1"/>
    <col min="13795" max="13795" width="10.7109375" style="4" bestFit="1" customWidth="1"/>
    <col min="13796" max="13796" width="10.140625" style="4" customWidth="1"/>
    <col min="13797" max="13797" width="11.28515625" style="4" customWidth="1"/>
    <col min="13798" max="13811" width="10.140625" style="4" customWidth="1"/>
    <col min="13812" max="13812" width="10.140625" style="4" bestFit="1" customWidth="1"/>
    <col min="13813" max="14014" width="9.140625" style="4"/>
    <col min="14015" max="14015" width="3.7109375" style="4" customWidth="1"/>
    <col min="14016" max="14016" width="5" style="4" customWidth="1"/>
    <col min="14017" max="14017" width="13" style="4" customWidth="1"/>
    <col min="14018" max="14018" width="10.85546875" style="4" customWidth="1"/>
    <col min="14019" max="14019" width="2.85546875" style="4" customWidth="1"/>
    <col min="14020" max="14020" width="12.42578125" style="4" customWidth="1"/>
    <col min="14021" max="14021" width="2.28515625" style="4" customWidth="1"/>
    <col min="14022" max="14022" width="8.5703125" style="4" customWidth="1"/>
    <col min="14023" max="14023" width="5.28515625" style="4" customWidth="1"/>
    <col min="14024" max="14024" width="7.140625" style="4" customWidth="1"/>
    <col min="14025" max="14025" width="0" style="4" hidden="1" customWidth="1"/>
    <col min="14026" max="14026" width="8.7109375" style="4" customWidth="1"/>
    <col min="14027" max="14027" width="3" style="4" customWidth="1"/>
    <col min="14028" max="14029" width="2" style="4" customWidth="1"/>
    <col min="14030" max="14030" width="2.42578125" style="4" customWidth="1"/>
    <col min="14031" max="14031" width="2.85546875" style="4" customWidth="1"/>
    <col min="14032" max="14032" width="3.140625" style="4" customWidth="1"/>
    <col min="14033" max="14033" width="7" style="4" customWidth="1"/>
    <col min="14034" max="14034" width="2.42578125" style="4" customWidth="1"/>
    <col min="14035" max="14035" width="2.7109375" style="4" customWidth="1"/>
    <col min="14036" max="14038" width="2" style="4" customWidth="1"/>
    <col min="14039" max="14039" width="2.5703125" style="4" customWidth="1"/>
    <col min="14040" max="14040" width="2.7109375" style="4" customWidth="1"/>
    <col min="14041" max="14041" width="2.28515625" style="4" customWidth="1"/>
    <col min="14042" max="14042" width="2" style="4" customWidth="1"/>
    <col min="14043" max="14043" width="3.140625" style="4" customWidth="1"/>
    <col min="14044" max="14044" width="2" style="4" customWidth="1"/>
    <col min="14045" max="14045" width="8.85546875" style="4" customWidth="1"/>
    <col min="14046" max="14046" width="5.42578125" style="4" customWidth="1"/>
    <col min="14047" max="14048" width="0" style="4" hidden="1" customWidth="1"/>
    <col min="14049" max="14049" width="7.28515625" style="4" customWidth="1"/>
    <col min="14050" max="14050" width="10.5703125" style="4" customWidth="1"/>
    <col min="14051" max="14051" width="10.7109375" style="4" bestFit="1" customWidth="1"/>
    <col min="14052" max="14052" width="10.140625" style="4" customWidth="1"/>
    <col min="14053" max="14053" width="11.28515625" style="4" customWidth="1"/>
    <col min="14054" max="14067" width="10.140625" style="4" customWidth="1"/>
    <col min="14068" max="14068" width="10.140625" style="4" bestFit="1" customWidth="1"/>
    <col min="14069" max="14270" width="9.140625" style="4"/>
    <col min="14271" max="14271" width="3.7109375" style="4" customWidth="1"/>
    <col min="14272" max="14272" width="5" style="4" customWidth="1"/>
    <col min="14273" max="14273" width="13" style="4" customWidth="1"/>
    <col min="14274" max="14274" width="10.85546875" style="4" customWidth="1"/>
    <col min="14275" max="14275" width="2.85546875" style="4" customWidth="1"/>
    <col min="14276" max="14276" width="12.42578125" style="4" customWidth="1"/>
    <col min="14277" max="14277" width="2.28515625" style="4" customWidth="1"/>
    <col min="14278" max="14278" width="8.5703125" style="4" customWidth="1"/>
    <col min="14279" max="14279" width="5.28515625" style="4" customWidth="1"/>
    <col min="14280" max="14280" width="7.140625" style="4" customWidth="1"/>
    <col min="14281" max="14281" width="0" style="4" hidden="1" customWidth="1"/>
    <col min="14282" max="14282" width="8.7109375" style="4" customWidth="1"/>
    <col min="14283" max="14283" width="3" style="4" customWidth="1"/>
    <col min="14284" max="14285" width="2" style="4" customWidth="1"/>
    <col min="14286" max="14286" width="2.42578125" style="4" customWidth="1"/>
    <col min="14287" max="14287" width="2.85546875" style="4" customWidth="1"/>
    <col min="14288" max="14288" width="3.140625" style="4" customWidth="1"/>
    <col min="14289" max="14289" width="7" style="4" customWidth="1"/>
    <col min="14290" max="14290" width="2.42578125" style="4" customWidth="1"/>
    <col min="14291" max="14291" width="2.7109375" style="4" customWidth="1"/>
    <col min="14292" max="14294" width="2" style="4" customWidth="1"/>
    <col min="14295" max="14295" width="2.5703125" style="4" customWidth="1"/>
    <col min="14296" max="14296" width="2.7109375" style="4" customWidth="1"/>
    <col min="14297" max="14297" width="2.28515625" style="4" customWidth="1"/>
    <col min="14298" max="14298" width="2" style="4" customWidth="1"/>
    <col min="14299" max="14299" width="3.140625" style="4" customWidth="1"/>
    <col min="14300" max="14300" width="2" style="4" customWidth="1"/>
    <col min="14301" max="14301" width="8.85546875" style="4" customWidth="1"/>
    <col min="14302" max="14302" width="5.42578125" style="4" customWidth="1"/>
    <col min="14303" max="14304" width="0" style="4" hidden="1" customWidth="1"/>
    <col min="14305" max="14305" width="7.28515625" style="4" customWidth="1"/>
    <col min="14306" max="14306" width="10.5703125" style="4" customWidth="1"/>
    <col min="14307" max="14307" width="10.7109375" style="4" bestFit="1" customWidth="1"/>
    <col min="14308" max="14308" width="10.140625" style="4" customWidth="1"/>
    <col min="14309" max="14309" width="11.28515625" style="4" customWidth="1"/>
    <col min="14310" max="14323" width="10.140625" style="4" customWidth="1"/>
    <col min="14324" max="14324" width="10.140625" style="4" bestFit="1" customWidth="1"/>
    <col min="14325" max="14526" width="9.140625" style="4"/>
    <col min="14527" max="14527" width="3.7109375" style="4" customWidth="1"/>
    <col min="14528" max="14528" width="5" style="4" customWidth="1"/>
    <col min="14529" max="14529" width="13" style="4" customWidth="1"/>
    <col min="14530" max="14530" width="10.85546875" style="4" customWidth="1"/>
    <col min="14531" max="14531" width="2.85546875" style="4" customWidth="1"/>
    <col min="14532" max="14532" width="12.42578125" style="4" customWidth="1"/>
    <col min="14533" max="14533" width="2.28515625" style="4" customWidth="1"/>
    <col min="14534" max="14534" width="8.5703125" style="4" customWidth="1"/>
    <col min="14535" max="14535" width="5.28515625" style="4" customWidth="1"/>
    <col min="14536" max="14536" width="7.140625" style="4" customWidth="1"/>
    <col min="14537" max="14537" width="0" style="4" hidden="1" customWidth="1"/>
    <col min="14538" max="14538" width="8.7109375" style="4" customWidth="1"/>
    <col min="14539" max="14539" width="3" style="4" customWidth="1"/>
    <col min="14540" max="14541" width="2" style="4" customWidth="1"/>
    <col min="14542" max="14542" width="2.42578125" style="4" customWidth="1"/>
    <col min="14543" max="14543" width="2.85546875" style="4" customWidth="1"/>
    <col min="14544" max="14544" width="3.140625" style="4" customWidth="1"/>
    <col min="14545" max="14545" width="7" style="4" customWidth="1"/>
    <col min="14546" max="14546" width="2.42578125" style="4" customWidth="1"/>
    <col min="14547" max="14547" width="2.7109375" style="4" customWidth="1"/>
    <col min="14548" max="14550" width="2" style="4" customWidth="1"/>
    <col min="14551" max="14551" width="2.5703125" style="4" customWidth="1"/>
    <col min="14552" max="14552" width="2.7109375" style="4" customWidth="1"/>
    <col min="14553" max="14553" width="2.28515625" style="4" customWidth="1"/>
    <col min="14554" max="14554" width="2" style="4" customWidth="1"/>
    <col min="14555" max="14555" width="3.140625" style="4" customWidth="1"/>
    <col min="14556" max="14556" width="2" style="4" customWidth="1"/>
    <col min="14557" max="14557" width="8.85546875" style="4" customWidth="1"/>
    <col min="14558" max="14558" width="5.42578125" style="4" customWidth="1"/>
    <col min="14559" max="14560" width="0" style="4" hidden="1" customWidth="1"/>
    <col min="14561" max="14561" width="7.28515625" style="4" customWidth="1"/>
    <col min="14562" max="14562" width="10.5703125" style="4" customWidth="1"/>
    <col min="14563" max="14563" width="10.7109375" style="4" bestFit="1" customWidth="1"/>
    <col min="14564" max="14564" width="10.140625" style="4" customWidth="1"/>
    <col min="14565" max="14565" width="11.28515625" style="4" customWidth="1"/>
    <col min="14566" max="14579" width="10.140625" style="4" customWidth="1"/>
    <col min="14580" max="14580" width="10.140625" style="4" bestFit="1" customWidth="1"/>
    <col min="14581" max="14782" width="9.140625" style="4"/>
    <col min="14783" max="14783" width="3.7109375" style="4" customWidth="1"/>
    <col min="14784" max="14784" width="5" style="4" customWidth="1"/>
    <col min="14785" max="14785" width="13" style="4" customWidth="1"/>
    <col min="14786" max="14786" width="10.85546875" style="4" customWidth="1"/>
    <col min="14787" max="14787" width="2.85546875" style="4" customWidth="1"/>
    <col min="14788" max="14788" width="12.42578125" style="4" customWidth="1"/>
    <col min="14789" max="14789" width="2.28515625" style="4" customWidth="1"/>
    <col min="14790" max="14790" width="8.5703125" style="4" customWidth="1"/>
    <col min="14791" max="14791" width="5.28515625" style="4" customWidth="1"/>
    <col min="14792" max="14792" width="7.140625" style="4" customWidth="1"/>
    <col min="14793" max="14793" width="0" style="4" hidden="1" customWidth="1"/>
    <col min="14794" max="14794" width="8.7109375" style="4" customWidth="1"/>
    <col min="14795" max="14795" width="3" style="4" customWidth="1"/>
    <col min="14796" max="14797" width="2" style="4" customWidth="1"/>
    <col min="14798" max="14798" width="2.42578125" style="4" customWidth="1"/>
    <col min="14799" max="14799" width="2.85546875" style="4" customWidth="1"/>
    <col min="14800" max="14800" width="3.140625" style="4" customWidth="1"/>
    <col min="14801" max="14801" width="7" style="4" customWidth="1"/>
    <col min="14802" max="14802" width="2.42578125" style="4" customWidth="1"/>
    <col min="14803" max="14803" width="2.7109375" style="4" customWidth="1"/>
    <col min="14804" max="14806" width="2" style="4" customWidth="1"/>
    <col min="14807" max="14807" width="2.5703125" style="4" customWidth="1"/>
    <col min="14808" max="14808" width="2.7109375" style="4" customWidth="1"/>
    <col min="14809" max="14809" width="2.28515625" style="4" customWidth="1"/>
    <col min="14810" max="14810" width="2" style="4" customWidth="1"/>
    <col min="14811" max="14811" width="3.140625" style="4" customWidth="1"/>
    <col min="14812" max="14812" width="2" style="4" customWidth="1"/>
    <col min="14813" max="14813" width="8.85546875" style="4" customWidth="1"/>
    <col min="14814" max="14814" width="5.42578125" style="4" customWidth="1"/>
    <col min="14815" max="14816" width="0" style="4" hidden="1" customWidth="1"/>
    <col min="14817" max="14817" width="7.28515625" style="4" customWidth="1"/>
    <col min="14818" max="14818" width="10.5703125" style="4" customWidth="1"/>
    <col min="14819" max="14819" width="10.7109375" style="4" bestFit="1" customWidth="1"/>
    <col min="14820" max="14820" width="10.140625" style="4" customWidth="1"/>
    <col min="14821" max="14821" width="11.28515625" style="4" customWidth="1"/>
    <col min="14822" max="14835" width="10.140625" style="4" customWidth="1"/>
    <col min="14836" max="14836" width="10.140625" style="4" bestFit="1" customWidth="1"/>
    <col min="14837" max="15038" width="9.140625" style="4"/>
    <col min="15039" max="15039" width="3.7109375" style="4" customWidth="1"/>
    <col min="15040" max="15040" width="5" style="4" customWidth="1"/>
    <col min="15041" max="15041" width="13" style="4" customWidth="1"/>
    <col min="15042" max="15042" width="10.85546875" style="4" customWidth="1"/>
    <col min="15043" max="15043" width="2.85546875" style="4" customWidth="1"/>
    <col min="15044" max="15044" width="12.42578125" style="4" customWidth="1"/>
    <col min="15045" max="15045" width="2.28515625" style="4" customWidth="1"/>
    <col min="15046" max="15046" width="8.5703125" style="4" customWidth="1"/>
    <col min="15047" max="15047" width="5.28515625" style="4" customWidth="1"/>
    <col min="15048" max="15048" width="7.140625" style="4" customWidth="1"/>
    <col min="15049" max="15049" width="0" style="4" hidden="1" customWidth="1"/>
    <col min="15050" max="15050" width="8.7109375" style="4" customWidth="1"/>
    <col min="15051" max="15051" width="3" style="4" customWidth="1"/>
    <col min="15052" max="15053" width="2" style="4" customWidth="1"/>
    <col min="15054" max="15054" width="2.42578125" style="4" customWidth="1"/>
    <col min="15055" max="15055" width="2.85546875" style="4" customWidth="1"/>
    <col min="15056" max="15056" width="3.140625" style="4" customWidth="1"/>
    <col min="15057" max="15057" width="7" style="4" customWidth="1"/>
    <col min="15058" max="15058" width="2.42578125" style="4" customWidth="1"/>
    <col min="15059" max="15059" width="2.7109375" style="4" customWidth="1"/>
    <col min="15060" max="15062" width="2" style="4" customWidth="1"/>
    <col min="15063" max="15063" width="2.5703125" style="4" customWidth="1"/>
    <col min="15064" max="15064" width="2.7109375" style="4" customWidth="1"/>
    <col min="15065" max="15065" width="2.28515625" style="4" customWidth="1"/>
    <col min="15066" max="15066" width="2" style="4" customWidth="1"/>
    <col min="15067" max="15067" width="3.140625" style="4" customWidth="1"/>
    <col min="15068" max="15068" width="2" style="4" customWidth="1"/>
    <col min="15069" max="15069" width="8.85546875" style="4" customWidth="1"/>
    <col min="15070" max="15070" width="5.42578125" style="4" customWidth="1"/>
    <col min="15071" max="15072" width="0" style="4" hidden="1" customWidth="1"/>
    <col min="15073" max="15073" width="7.28515625" style="4" customWidth="1"/>
    <col min="15074" max="15074" width="10.5703125" style="4" customWidth="1"/>
    <col min="15075" max="15075" width="10.7109375" style="4" bestFit="1" customWidth="1"/>
    <col min="15076" max="15076" width="10.140625" style="4" customWidth="1"/>
    <col min="15077" max="15077" width="11.28515625" style="4" customWidth="1"/>
    <col min="15078" max="15091" width="10.140625" style="4" customWidth="1"/>
    <col min="15092" max="15092" width="10.140625" style="4" bestFit="1" customWidth="1"/>
    <col min="15093" max="15294" width="9.140625" style="4"/>
    <col min="15295" max="15295" width="3.7109375" style="4" customWidth="1"/>
    <col min="15296" max="15296" width="5" style="4" customWidth="1"/>
    <col min="15297" max="15297" width="13" style="4" customWidth="1"/>
    <col min="15298" max="15298" width="10.85546875" style="4" customWidth="1"/>
    <col min="15299" max="15299" width="2.85546875" style="4" customWidth="1"/>
    <col min="15300" max="15300" width="12.42578125" style="4" customWidth="1"/>
    <col min="15301" max="15301" width="2.28515625" style="4" customWidth="1"/>
    <col min="15302" max="15302" width="8.5703125" style="4" customWidth="1"/>
    <col min="15303" max="15303" width="5.28515625" style="4" customWidth="1"/>
    <col min="15304" max="15304" width="7.140625" style="4" customWidth="1"/>
    <col min="15305" max="15305" width="0" style="4" hidden="1" customWidth="1"/>
    <col min="15306" max="15306" width="8.7109375" style="4" customWidth="1"/>
    <col min="15307" max="15307" width="3" style="4" customWidth="1"/>
    <col min="15308" max="15309" width="2" style="4" customWidth="1"/>
    <col min="15310" max="15310" width="2.42578125" style="4" customWidth="1"/>
    <col min="15311" max="15311" width="2.85546875" style="4" customWidth="1"/>
    <col min="15312" max="15312" width="3.140625" style="4" customWidth="1"/>
    <col min="15313" max="15313" width="7" style="4" customWidth="1"/>
    <col min="15314" max="15314" width="2.42578125" style="4" customWidth="1"/>
    <col min="15315" max="15315" width="2.7109375" style="4" customWidth="1"/>
    <col min="15316" max="15318" width="2" style="4" customWidth="1"/>
    <col min="15319" max="15319" width="2.5703125" style="4" customWidth="1"/>
    <col min="15320" max="15320" width="2.7109375" style="4" customWidth="1"/>
    <col min="15321" max="15321" width="2.28515625" style="4" customWidth="1"/>
    <col min="15322" max="15322" width="2" style="4" customWidth="1"/>
    <col min="15323" max="15323" width="3.140625" style="4" customWidth="1"/>
    <col min="15324" max="15324" width="2" style="4" customWidth="1"/>
    <col min="15325" max="15325" width="8.85546875" style="4" customWidth="1"/>
    <col min="15326" max="15326" width="5.42578125" style="4" customWidth="1"/>
    <col min="15327" max="15328" width="0" style="4" hidden="1" customWidth="1"/>
    <col min="15329" max="15329" width="7.28515625" style="4" customWidth="1"/>
    <col min="15330" max="15330" width="10.5703125" style="4" customWidth="1"/>
    <col min="15331" max="15331" width="10.7109375" style="4" bestFit="1" customWidth="1"/>
    <col min="15332" max="15332" width="10.140625" style="4" customWidth="1"/>
    <col min="15333" max="15333" width="11.28515625" style="4" customWidth="1"/>
    <col min="15334" max="15347" width="10.140625" style="4" customWidth="1"/>
    <col min="15348" max="15348" width="10.140625" style="4" bestFit="1" customWidth="1"/>
    <col min="15349" max="15550" width="9.140625" style="4"/>
    <col min="15551" max="15551" width="3.7109375" style="4" customWidth="1"/>
    <col min="15552" max="15552" width="5" style="4" customWidth="1"/>
    <col min="15553" max="15553" width="13" style="4" customWidth="1"/>
    <col min="15554" max="15554" width="10.85546875" style="4" customWidth="1"/>
    <col min="15555" max="15555" width="2.85546875" style="4" customWidth="1"/>
    <col min="15556" max="15556" width="12.42578125" style="4" customWidth="1"/>
    <col min="15557" max="15557" width="2.28515625" style="4" customWidth="1"/>
    <col min="15558" max="15558" width="8.5703125" style="4" customWidth="1"/>
    <col min="15559" max="15559" width="5.28515625" style="4" customWidth="1"/>
    <col min="15560" max="15560" width="7.140625" style="4" customWidth="1"/>
    <col min="15561" max="15561" width="0" style="4" hidden="1" customWidth="1"/>
    <col min="15562" max="15562" width="8.7109375" style="4" customWidth="1"/>
    <col min="15563" max="15563" width="3" style="4" customWidth="1"/>
    <col min="15564" max="15565" width="2" style="4" customWidth="1"/>
    <col min="15566" max="15566" width="2.42578125" style="4" customWidth="1"/>
    <col min="15567" max="15567" width="2.85546875" style="4" customWidth="1"/>
    <col min="15568" max="15568" width="3.140625" style="4" customWidth="1"/>
    <col min="15569" max="15569" width="7" style="4" customWidth="1"/>
    <col min="15570" max="15570" width="2.42578125" style="4" customWidth="1"/>
    <col min="15571" max="15571" width="2.7109375" style="4" customWidth="1"/>
    <col min="15572" max="15574" width="2" style="4" customWidth="1"/>
    <col min="15575" max="15575" width="2.5703125" style="4" customWidth="1"/>
    <col min="15576" max="15576" width="2.7109375" style="4" customWidth="1"/>
    <col min="15577" max="15577" width="2.28515625" style="4" customWidth="1"/>
    <col min="15578" max="15578" width="2" style="4" customWidth="1"/>
    <col min="15579" max="15579" width="3.140625" style="4" customWidth="1"/>
    <col min="15580" max="15580" width="2" style="4" customWidth="1"/>
    <col min="15581" max="15581" width="8.85546875" style="4" customWidth="1"/>
    <col min="15582" max="15582" width="5.42578125" style="4" customWidth="1"/>
    <col min="15583" max="15584" width="0" style="4" hidden="1" customWidth="1"/>
    <col min="15585" max="15585" width="7.28515625" style="4" customWidth="1"/>
    <col min="15586" max="15586" width="10.5703125" style="4" customWidth="1"/>
    <col min="15587" max="15587" width="10.7109375" style="4" bestFit="1" customWidth="1"/>
    <col min="15588" max="15588" width="10.140625" style="4" customWidth="1"/>
    <col min="15589" max="15589" width="11.28515625" style="4" customWidth="1"/>
    <col min="15590" max="15603" width="10.140625" style="4" customWidth="1"/>
    <col min="15604" max="15604" width="10.140625" style="4" bestFit="1" customWidth="1"/>
    <col min="15605" max="15806" width="9.140625" style="4"/>
    <col min="15807" max="15807" width="3.7109375" style="4" customWidth="1"/>
    <col min="15808" max="15808" width="5" style="4" customWidth="1"/>
    <col min="15809" max="15809" width="13" style="4" customWidth="1"/>
    <col min="15810" max="15810" width="10.85546875" style="4" customWidth="1"/>
    <col min="15811" max="15811" width="2.85546875" style="4" customWidth="1"/>
    <col min="15812" max="15812" width="12.42578125" style="4" customWidth="1"/>
    <col min="15813" max="15813" width="2.28515625" style="4" customWidth="1"/>
    <col min="15814" max="15814" width="8.5703125" style="4" customWidth="1"/>
    <col min="15815" max="15815" width="5.28515625" style="4" customWidth="1"/>
    <col min="15816" max="15816" width="7.140625" style="4" customWidth="1"/>
    <col min="15817" max="15817" width="0" style="4" hidden="1" customWidth="1"/>
    <col min="15818" max="15818" width="8.7109375" style="4" customWidth="1"/>
    <col min="15819" max="15819" width="3" style="4" customWidth="1"/>
    <col min="15820" max="15821" width="2" style="4" customWidth="1"/>
    <col min="15822" max="15822" width="2.42578125" style="4" customWidth="1"/>
    <col min="15823" max="15823" width="2.85546875" style="4" customWidth="1"/>
    <col min="15824" max="15824" width="3.140625" style="4" customWidth="1"/>
    <col min="15825" max="15825" width="7" style="4" customWidth="1"/>
    <col min="15826" max="15826" width="2.42578125" style="4" customWidth="1"/>
    <col min="15827" max="15827" width="2.7109375" style="4" customWidth="1"/>
    <col min="15828" max="15830" width="2" style="4" customWidth="1"/>
    <col min="15831" max="15831" width="2.5703125" style="4" customWidth="1"/>
    <col min="15832" max="15832" width="2.7109375" style="4" customWidth="1"/>
    <col min="15833" max="15833" width="2.28515625" style="4" customWidth="1"/>
    <col min="15834" max="15834" width="2" style="4" customWidth="1"/>
    <col min="15835" max="15835" width="3.140625" style="4" customWidth="1"/>
    <col min="15836" max="15836" width="2" style="4" customWidth="1"/>
    <col min="15837" max="15837" width="8.85546875" style="4" customWidth="1"/>
    <col min="15838" max="15838" width="5.42578125" style="4" customWidth="1"/>
    <col min="15839" max="15840" width="0" style="4" hidden="1" customWidth="1"/>
    <col min="15841" max="15841" width="7.28515625" style="4" customWidth="1"/>
    <col min="15842" max="15842" width="10.5703125" style="4" customWidth="1"/>
    <col min="15843" max="15843" width="10.7109375" style="4" bestFit="1" customWidth="1"/>
    <col min="15844" max="15844" width="10.140625" style="4" customWidth="1"/>
    <col min="15845" max="15845" width="11.28515625" style="4" customWidth="1"/>
    <col min="15846" max="15859" width="10.140625" style="4" customWidth="1"/>
    <col min="15860" max="15860" width="10.140625" style="4" bestFit="1" customWidth="1"/>
    <col min="15861" max="16062" width="9.140625" style="4"/>
    <col min="16063" max="16063" width="3.7109375" style="4" customWidth="1"/>
    <col min="16064" max="16064" width="5" style="4" customWidth="1"/>
    <col min="16065" max="16065" width="13" style="4" customWidth="1"/>
    <col min="16066" max="16066" width="10.85546875" style="4" customWidth="1"/>
    <col min="16067" max="16067" width="2.85546875" style="4" customWidth="1"/>
    <col min="16068" max="16068" width="12.42578125" style="4" customWidth="1"/>
    <col min="16069" max="16069" width="2.28515625" style="4" customWidth="1"/>
    <col min="16070" max="16070" width="8.5703125" style="4" customWidth="1"/>
    <col min="16071" max="16071" width="5.28515625" style="4" customWidth="1"/>
    <col min="16072" max="16072" width="7.140625" style="4" customWidth="1"/>
    <col min="16073" max="16073" width="0" style="4" hidden="1" customWidth="1"/>
    <col min="16074" max="16074" width="8.7109375" style="4" customWidth="1"/>
    <col min="16075" max="16075" width="3" style="4" customWidth="1"/>
    <col min="16076" max="16077" width="2" style="4" customWidth="1"/>
    <col min="16078" max="16078" width="2.42578125" style="4" customWidth="1"/>
    <col min="16079" max="16079" width="2.85546875" style="4" customWidth="1"/>
    <col min="16080" max="16080" width="3.140625" style="4" customWidth="1"/>
    <col min="16081" max="16081" width="7" style="4" customWidth="1"/>
    <col min="16082" max="16082" width="2.42578125" style="4" customWidth="1"/>
    <col min="16083" max="16083" width="2.7109375" style="4" customWidth="1"/>
    <col min="16084" max="16086" width="2" style="4" customWidth="1"/>
    <col min="16087" max="16087" width="2.5703125" style="4" customWidth="1"/>
    <col min="16088" max="16088" width="2.7109375" style="4" customWidth="1"/>
    <col min="16089" max="16089" width="2.28515625" style="4" customWidth="1"/>
    <col min="16090" max="16090" width="2" style="4" customWidth="1"/>
    <col min="16091" max="16091" width="3.140625" style="4" customWidth="1"/>
    <col min="16092" max="16092" width="2" style="4" customWidth="1"/>
    <col min="16093" max="16093" width="8.85546875" style="4" customWidth="1"/>
    <col min="16094" max="16094" width="5.42578125" style="4" customWidth="1"/>
    <col min="16095" max="16096" width="0" style="4" hidden="1" customWidth="1"/>
    <col min="16097" max="16097" width="7.28515625" style="4" customWidth="1"/>
    <col min="16098" max="16098" width="10.5703125" style="4" customWidth="1"/>
    <col min="16099" max="16099" width="10.7109375" style="4" bestFit="1" customWidth="1"/>
    <col min="16100" max="16100" width="10.140625" style="4" customWidth="1"/>
    <col min="16101" max="16101" width="11.28515625" style="4" customWidth="1"/>
    <col min="16102" max="16115" width="10.140625" style="4" customWidth="1"/>
    <col min="16116" max="16116" width="10.140625" style="4" bestFit="1" customWidth="1"/>
    <col min="16117" max="16384" width="9.140625" style="4"/>
  </cols>
  <sheetData>
    <row r="1" spans="1:35" s="10" customFormat="1" ht="16.5">
      <c r="A1" s="5" t="s">
        <v>49</v>
      </c>
      <c r="B1" s="6"/>
      <c r="C1" s="7"/>
      <c r="D1" s="8"/>
      <c r="E1" s="7"/>
      <c r="F1" s="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AE1" s="54" t="s">
        <v>183</v>
      </c>
      <c r="AF1" s="54"/>
      <c r="AG1" s="54"/>
      <c r="AH1" s="54" t="s">
        <v>181</v>
      </c>
    </row>
    <row r="2" spans="1:35">
      <c r="A2" s="196" t="s">
        <v>51</v>
      </c>
      <c r="B2" s="196"/>
      <c r="C2" s="196"/>
      <c r="D2" s="196"/>
      <c r="E2" s="196"/>
      <c r="F2" s="196"/>
      <c r="G2" s="196"/>
      <c r="H2" s="196"/>
      <c r="I2" s="196"/>
      <c r="J2" s="200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2"/>
      <c r="AE2" s="54" t="s">
        <v>184</v>
      </c>
      <c r="AF2" s="54" t="s">
        <v>89</v>
      </c>
      <c r="AG2" s="54" t="s">
        <v>50</v>
      </c>
      <c r="AH2" s="54" t="s">
        <v>182</v>
      </c>
      <c r="AI2" s="26"/>
    </row>
    <row r="3" spans="1:35" ht="26.25" customHeight="1">
      <c r="A3" s="196"/>
      <c r="B3" s="196"/>
      <c r="C3" s="196"/>
      <c r="D3" s="196"/>
      <c r="E3" s="196"/>
      <c r="F3" s="196"/>
      <c r="G3" s="196"/>
      <c r="H3" s="196"/>
      <c r="I3" s="196"/>
      <c r="J3" s="203" t="s">
        <v>52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H3" s="22"/>
    </row>
    <row r="4" spans="1:35" ht="30" customHeight="1">
      <c r="A4" s="195" t="s">
        <v>16</v>
      </c>
      <c r="B4" s="195"/>
      <c r="C4" s="195"/>
      <c r="D4" s="195"/>
      <c r="E4" s="195"/>
      <c r="F4" s="195"/>
      <c r="G4" s="195"/>
      <c r="H4" s="195"/>
      <c r="I4" s="195"/>
      <c r="J4" s="196" t="s">
        <v>17</v>
      </c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H4" s="22"/>
    </row>
    <row r="5" spans="1:35" s="12" customFormat="1" ht="15">
      <c r="A5" s="20"/>
      <c r="B5" s="11"/>
      <c r="C5" s="20"/>
      <c r="D5" s="20"/>
      <c r="E5" s="20"/>
      <c r="F5" s="175"/>
      <c r="G5" s="175"/>
      <c r="H5" s="20"/>
      <c r="I5" s="20"/>
      <c r="J5" s="20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20" t="s">
        <v>18</v>
      </c>
      <c r="AD5" s="20">
        <v>1</v>
      </c>
      <c r="AH5" s="51"/>
    </row>
    <row r="6" spans="1:35" ht="26.45" customHeight="1">
      <c r="A6" s="195" t="s">
        <v>53</v>
      </c>
      <c r="B6" s="195"/>
      <c r="C6" s="195"/>
      <c r="D6" s="195"/>
      <c r="E6" s="195"/>
      <c r="F6" s="195"/>
      <c r="G6" s="195"/>
      <c r="H6" s="195"/>
      <c r="I6" s="195"/>
      <c r="J6" s="199" t="s">
        <v>178</v>
      </c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F6" s="56"/>
      <c r="AG6" s="56"/>
      <c r="AH6" s="56"/>
      <c r="AI6" s="50"/>
    </row>
    <row r="7" spans="1:35" ht="15">
      <c r="A7" s="195" t="s">
        <v>54</v>
      </c>
      <c r="B7" s="195"/>
      <c r="C7" s="195"/>
      <c r="D7" s="195"/>
      <c r="E7" s="195"/>
      <c r="F7" s="195"/>
      <c r="G7" s="195"/>
      <c r="H7" s="195"/>
      <c r="I7" s="19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F7" s="56"/>
      <c r="AG7" s="56"/>
      <c r="AH7" s="56"/>
      <c r="AI7" s="50"/>
    </row>
    <row r="8" spans="1:35" ht="15">
      <c r="A8" s="195" t="s">
        <v>55</v>
      </c>
      <c r="B8" s="195"/>
      <c r="C8" s="195"/>
      <c r="D8" s="195"/>
      <c r="E8" s="195"/>
      <c r="F8" s="195"/>
      <c r="G8" s="195"/>
      <c r="H8" s="195"/>
      <c r="I8" s="195"/>
      <c r="J8" s="175" t="s">
        <v>19</v>
      </c>
      <c r="K8" s="175"/>
      <c r="L8" s="175">
        <v>2021</v>
      </c>
      <c r="M8" s="175"/>
      <c r="N8" s="175"/>
      <c r="O8" s="175"/>
      <c r="P8" s="175"/>
      <c r="Q8" s="175"/>
      <c r="R8" s="175" t="s">
        <v>20</v>
      </c>
      <c r="S8" s="175"/>
      <c r="T8" s="175"/>
      <c r="U8" s="175">
        <v>12</v>
      </c>
      <c r="V8" s="175"/>
      <c r="W8" s="175"/>
      <c r="X8" s="198"/>
      <c r="Y8" s="198"/>
      <c r="Z8" s="198"/>
      <c r="AA8" s="198"/>
      <c r="AB8" s="195"/>
      <c r="AC8" s="195"/>
      <c r="AD8" s="195"/>
      <c r="AF8" s="57"/>
      <c r="AG8" s="57"/>
      <c r="AH8" s="57"/>
      <c r="AI8" s="58"/>
    </row>
    <row r="9" spans="1:35" ht="15">
      <c r="A9" s="195" t="s">
        <v>56</v>
      </c>
      <c r="B9" s="195"/>
      <c r="C9" s="195"/>
      <c r="D9" s="195"/>
      <c r="E9" s="195"/>
      <c r="F9" s="195"/>
      <c r="G9" s="195"/>
      <c r="H9" s="195"/>
      <c r="I9" s="195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F9" s="56"/>
      <c r="AG9" s="56"/>
      <c r="AH9" s="56"/>
      <c r="AI9" s="50"/>
    </row>
    <row r="10" spans="1:35" ht="15">
      <c r="A10" s="197" t="s">
        <v>57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I10" s="50"/>
    </row>
    <row r="11" spans="1:35" ht="30" customHeight="1">
      <c r="A11" s="178" t="s">
        <v>21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82" t="s">
        <v>58</v>
      </c>
      <c r="T11" s="182"/>
      <c r="U11" s="182"/>
      <c r="V11" s="182"/>
      <c r="W11" s="182"/>
      <c r="X11" s="182"/>
      <c r="Y11" s="182"/>
      <c r="Z11" s="183" t="s">
        <v>59</v>
      </c>
      <c r="AA11" s="183"/>
      <c r="AB11" s="183"/>
      <c r="AC11" s="183"/>
      <c r="AD11" s="183"/>
      <c r="AF11" s="50"/>
      <c r="AG11" s="50"/>
      <c r="AH11" s="48"/>
      <c r="AI11" s="50"/>
    </row>
    <row r="12" spans="1:35" ht="30" customHeight="1">
      <c r="A12" s="180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3" t="s">
        <v>60</v>
      </c>
      <c r="T12" s="183"/>
      <c r="U12" s="183"/>
      <c r="V12" s="183"/>
      <c r="W12" s="183"/>
      <c r="X12" s="183"/>
      <c r="Y12" s="183"/>
      <c r="Z12" s="183" t="s">
        <v>61</v>
      </c>
      <c r="AA12" s="183"/>
      <c r="AB12" s="183"/>
      <c r="AC12" s="183"/>
      <c r="AD12" s="183"/>
      <c r="AH12" s="48"/>
    </row>
    <row r="13" spans="1:35" ht="18" customHeight="1">
      <c r="A13" s="189" t="s">
        <v>62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1"/>
      <c r="S13" s="176">
        <f>+AF13</f>
        <v>78953.219333333327</v>
      </c>
      <c r="T13" s="176"/>
      <c r="U13" s="176"/>
      <c r="V13" s="176"/>
      <c r="W13" s="176"/>
      <c r="X13" s="176"/>
      <c r="Y13" s="176"/>
      <c r="Z13" s="176">
        <f>+AF14</f>
        <v>15790.643866666665</v>
      </c>
      <c r="AA13" s="176"/>
      <c r="AB13" s="176"/>
      <c r="AC13" s="176"/>
      <c r="AD13" s="176"/>
      <c r="AE13" s="24" t="s">
        <v>185</v>
      </c>
      <c r="AF13" s="48">
        <f>69750+420+3420*0.8333+2300+2560/1.2+1800/1.2</f>
        <v>78953.219333333327</v>
      </c>
      <c r="AG13" s="48" t="s">
        <v>217</v>
      </c>
      <c r="AH13" s="48">
        <v>1</v>
      </c>
    </row>
    <row r="14" spans="1:35" ht="18" customHeight="1">
      <c r="A14" s="189" t="s">
        <v>63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  <c r="S14" s="192" t="s">
        <v>23</v>
      </c>
      <c r="T14" s="193"/>
      <c r="U14" s="193"/>
      <c r="V14" s="193"/>
      <c r="W14" s="193"/>
      <c r="X14" s="193"/>
      <c r="Y14" s="194"/>
      <c r="Z14" s="177" t="s">
        <v>23</v>
      </c>
      <c r="AA14" s="177"/>
      <c r="AB14" s="177"/>
      <c r="AC14" s="177"/>
      <c r="AD14" s="177"/>
      <c r="AE14" s="24" t="s">
        <v>186</v>
      </c>
      <c r="AF14" s="48">
        <f>+AF13*0.2</f>
        <v>15790.643866666665</v>
      </c>
      <c r="AG14" s="48" t="s">
        <v>218</v>
      </c>
      <c r="AH14" s="48">
        <v>1</v>
      </c>
    </row>
    <row r="15" spans="1:35" ht="18" customHeight="1">
      <c r="A15" s="189" t="s">
        <v>64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1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H15" s="48"/>
    </row>
    <row r="16" spans="1:35" ht="18" customHeight="1">
      <c r="A16" s="189" t="s">
        <v>65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1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24" t="s">
        <v>187</v>
      </c>
      <c r="AF16" s="48">
        <f>18464-3420</f>
        <v>15044</v>
      </c>
      <c r="AG16" s="48" t="s">
        <v>211</v>
      </c>
      <c r="AH16" s="48" t="s">
        <v>227</v>
      </c>
    </row>
    <row r="17" spans="1:35" ht="18" customHeight="1">
      <c r="A17" s="184" t="s">
        <v>24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5"/>
      <c r="S17" s="186">
        <f>+AF16</f>
        <v>15044</v>
      </c>
      <c r="T17" s="187"/>
      <c r="U17" s="187"/>
      <c r="V17" s="187"/>
      <c r="W17" s="187"/>
      <c r="X17" s="187"/>
      <c r="Y17" s="188"/>
      <c r="Z17" s="186">
        <f>+AF17</f>
        <v>2507.8348000000001</v>
      </c>
      <c r="AA17" s="187"/>
      <c r="AB17" s="187"/>
      <c r="AC17" s="187"/>
      <c r="AD17" s="188"/>
      <c r="AE17" s="24" t="s">
        <v>188</v>
      </c>
      <c r="AF17" s="48">
        <f>+AF16*16.67%</f>
        <v>2507.8348000000001</v>
      </c>
      <c r="AG17" s="48" t="s">
        <v>212</v>
      </c>
      <c r="AH17" s="48" t="s">
        <v>227</v>
      </c>
    </row>
    <row r="18" spans="1:35" ht="18" customHeight="1">
      <c r="A18" s="184" t="s">
        <v>25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5"/>
      <c r="S18" s="192" t="s">
        <v>23</v>
      </c>
      <c r="T18" s="193"/>
      <c r="U18" s="193"/>
      <c r="V18" s="193"/>
      <c r="W18" s="193"/>
      <c r="X18" s="193"/>
      <c r="Y18" s="194"/>
      <c r="Z18" s="186">
        <f>+AF21+AF23+AF25</f>
        <v>356.73714285714289</v>
      </c>
      <c r="AA18" s="187"/>
      <c r="AB18" s="187"/>
      <c r="AC18" s="187"/>
      <c r="AD18" s="188"/>
      <c r="AE18" s="24" t="s">
        <v>189</v>
      </c>
      <c r="AF18" s="48">
        <f>9000/1.2*0.8</f>
        <v>6000</v>
      </c>
      <c r="AG18" s="48" t="s">
        <v>193</v>
      </c>
      <c r="AH18" s="48" t="s">
        <v>226</v>
      </c>
    </row>
    <row r="19" spans="1:35" ht="15">
      <c r="A19" s="184" t="s">
        <v>66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5"/>
      <c r="S19" s="192" t="s">
        <v>23</v>
      </c>
      <c r="T19" s="193"/>
      <c r="U19" s="193"/>
      <c r="V19" s="193"/>
      <c r="W19" s="193"/>
      <c r="X19" s="193"/>
      <c r="Y19" s="194"/>
      <c r="Z19" s="177" t="s">
        <v>23</v>
      </c>
      <c r="AA19" s="177"/>
      <c r="AB19" s="177"/>
      <c r="AC19" s="177"/>
      <c r="AD19" s="177"/>
      <c r="AF19" s="48">
        <f>6000*0.2-6300/6</f>
        <v>150</v>
      </c>
      <c r="AG19" s="48" t="s">
        <v>194</v>
      </c>
      <c r="AH19" s="48" t="s">
        <v>226</v>
      </c>
    </row>
    <row r="20" spans="1:35" ht="18" customHeight="1">
      <c r="A20" s="184" t="s">
        <v>64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5"/>
      <c r="S20" s="192" t="s">
        <v>23</v>
      </c>
      <c r="T20" s="193"/>
      <c r="U20" s="193"/>
      <c r="V20" s="193"/>
      <c r="W20" s="193"/>
      <c r="X20" s="193"/>
      <c r="Y20" s="194"/>
      <c r="Z20" s="186"/>
      <c r="AA20" s="187"/>
      <c r="AB20" s="187"/>
      <c r="AC20" s="187"/>
      <c r="AD20" s="188"/>
      <c r="AF20" s="55">
        <f>(6300-2400)/6300</f>
        <v>0.61904761904761907</v>
      </c>
      <c r="AG20" s="48" t="s">
        <v>195</v>
      </c>
      <c r="AH20" s="48" t="s">
        <v>226</v>
      </c>
    </row>
    <row r="21" spans="1:35" ht="18" customHeight="1">
      <c r="A21" s="184" t="s">
        <v>65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5"/>
      <c r="S21" s="192" t="s">
        <v>23</v>
      </c>
      <c r="T21" s="193"/>
      <c r="U21" s="193"/>
      <c r="V21" s="193"/>
      <c r="W21" s="193"/>
      <c r="X21" s="193"/>
      <c r="Y21" s="194"/>
      <c r="Z21" s="186"/>
      <c r="AA21" s="187"/>
      <c r="AB21" s="187"/>
      <c r="AC21" s="187"/>
      <c r="AD21" s="188"/>
      <c r="AE21" s="24" t="s">
        <v>189</v>
      </c>
      <c r="AF21" s="48">
        <f>+AF19*AF20</f>
        <v>92.857142857142861</v>
      </c>
      <c r="AG21" s="48" t="s">
        <v>179</v>
      </c>
      <c r="AH21" s="48" t="s">
        <v>226</v>
      </c>
    </row>
    <row r="22" spans="1:35" ht="18" customHeight="1">
      <c r="A22" s="184" t="s">
        <v>26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5"/>
      <c r="S22" s="186">
        <f>SUM(S24:Y25)</f>
        <v>0</v>
      </c>
      <c r="T22" s="187"/>
      <c r="U22" s="187"/>
      <c r="V22" s="187"/>
      <c r="W22" s="187"/>
      <c r="X22" s="187"/>
      <c r="Y22" s="188"/>
      <c r="Z22" s="177" t="s">
        <v>23</v>
      </c>
      <c r="AA22" s="177"/>
      <c r="AB22" s="177"/>
      <c r="AC22" s="177"/>
      <c r="AD22" s="177"/>
      <c r="AF22" s="48">
        <f>3500*0.8</f>
        <v>2800</v>
      </c>
      <c r="AG22" s="48" t="s">
        <v>180</v>
      </c>
      <c r="AH22" s="48" t="s">
        <v>225</v>
      </c>
    </row>
    <row r="23" spans="1:35" ht="18" customHeight="1">
      <c r="A23" s="175" t="s">
        <v>27</v>
      </c>
      <c r="B23" s="175"/>
      <c r="C23" s="175"/>
      <c r="D23" s="175"/>
      <c r="E23" s="175"/>
      <c r="F23" s="175"/>
      <c r="G23" s="175" t="s">
        <v>67</v>
      </c>
      <c r="H23" s="175"/>
      <c r="I23" s="175"/>
      <c r="J23" s="175"/>
      <c r="K23" s="175"/>
      <c r="L23" s="176" t="s">
        <v>28</v>
      </c>
      <c r="M23" s="176"/>
      <c r="N23" s="176"/>
      <c r="O23" s="176"/>
      <c r="P23" s="176"/>
      <c r="Q23" s="176"/>
      <c r="R23" s="176"/>
      <c r="S23" s="192" t="s">
        <v>23</v>
      </c>
      <c r="T23" s="193"/>
      <c r="U23" s="193"/>
      <c r="V23" s="193"/>
      <c r="W23" s="193"/>
      <c r="X23" s="193"/>
      <c r="Y23" s="194"/>
      <c r="Z23" s="177" t="s">
        <v>23</v>
      </c>
      <c r="AA23" s="177"/>
      <c r="AB23" s="177"/>
      <c r="AC23" s="177"/>
      <c r="AD23" s="177"/>
      <c r="AE23" s="24" t="s">
        <v>189</v>
      </c>
      <c r="AF23" s="48">
        <f>(2800-2300)*0.2</f>
        <v>100</v>
      </c>
      <c r="AG23" s="48" t="s">
        <v>196</v>
      </c>
      <c r="AH23" s="48" t="s">
        <v>225</v>
      </c>
    </row>
    <row r="24" spans="1:35" ht="1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7" t="s">
        <v>23</v>
      </c>
      <c r="AA24" s="177"/>
      <c r="AB24" s="177"/>
      <c r="AC24" s="177"/>
      <c r="AD24" s="177"/>
      <c r="AE24" s="24" t="s">
        <v>222</v>
      </c>
      <c r="AF24" s="48">
        <v>960</v>
      </c>
      <c r="AG24" s="48" t="s">
        <v>223</v>
      </c>
      <c r="AH24" s="48" t="s">
        <v>224</v>
      </c>
    </row>
    <row r="25" spans="1:35" ht="15" customHeight="1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7" t="s">
        <v>23</v>
      </c>
      <c r="AA25" s="177"/>
      <c r="AB25" s="177"/>
      <c r="AC25" s="177"/>
      <c r="AD25" s="177"/>
      <c r="AE25" s="24" t="s">
        <v>189</v>
      </c>
      <c r="AF25" s="48">
        <f>+AF33*0.2</f>
        <v>163.88</v>
      </c>
      <c r="AG25" s="48" t="s">
        <v>208</v>
      </c>
      <c r="AH25" s="4">
        <v>7</v>
      </c>
    </row>
    <row r="26" spans="1:35" ht="15">
      <c r="A26" s="184" t="s">
        <v>29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5"/>
      <c r="S26" s="186">
        <f>SUM(S28:Y30)</f>
        <v>960</v>
      </c>
      <c r="T26" s="187"/>
      <c r="U26" s="187"/>
      <c r="V26" s="187"/>
      <c r="W26" s="187"/>
      <c r="X26" s="187"/>
      <c r="Y26" s="188"/>
      <c r="Z26" s="177" t="s">
        <v>23</v>
      </c>
      <c r="AA26" s="177"/>
      <c r="AB26" s="177"/>
      <c r="AC26" s="177"/>
      <c r="AD26" s="177"/>
      <c r="AE26" s="24" t="s">
        <v>190</v>
      </c>
      <c r="AF26" s="48">
        <f>550*0.2</f>
        <v>110</v>
      </c>
      <c r="AG26" s="48" t="s">
        <v>191</v>
      </c>
      <c r="AH26" s="48">
        <v>2</v>
      </c>
    </row>
    <row r="27" spans="1:35" ht="15">
      <c r="A27" s="175" t="s">
        <v>27</v>
      </c>
      <c r="B27" s="175"/>
      <c r="C27" s="175"/>
      <c r="D27" s="175"/>
      <c r="E27" s="175"/>
      <c r="F27" s="175"/>
      <c r="G27" s="175" t="s">
        <v>67</v>
      </c>
      <c r="H27" s="175"/>
      <c r="I27" s="175"/>
      <c r="J27" s="175"/>
      <c r="K27" s="175"/>
      <c r="L27" s="176" t="s">
        <v>28</v>
      </c>
      <c r="M27" s="176"/>
      <c r="N27" s="176"/>
      <c r="O27" s="176"/>
      <c r="P27" s="176"/>
      <c r="Q27" s="176"/>
      <c r="R27" s="176"/>
      <c r="S27" s="192" t="s">
        <v>23</v>
      </c>
      <c r="T27" s="193"/>
      <c r="U27" s="193"/>
      <c r="V27" s="193"/>
      <c r="W27" s="193"/>
      <c r="X27" s="193"/>
      <c r="Y27" s="194"/>
      <c r="Z27" s="177" t="s">
        <v>23</v>
      </c>
      <c r="AA27" s="177"/>
      <c r="AB27" s="177"/>
      <c r="AC27" s="177"/>
      <c r="AD27" s="177"/>
      <c r="AE27" s="23" t="s">
        <v>192</v>
      </c>
      <c r="AF27" s="59">
        <f>(25000+1800-200)*480*1.05/1000</f>
        <v>13406.4</v>
      </c>
      <c r="AG27" s="48" t="s">
        <v>197</v>
      </c>
      <c r="AH27" s="48">
        <v>3</v>
      </c>
    </row>
    <row r="28" spans="1:35" ht="15">
      <c r="A28" s="175" t="s">
        <v>222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6"/>
      <c r="M28" s="176"/>
      <c r="N28" s="176"/>
      <c r="O28" s="176"/>
      <c r="P28" s="176"/>
      <c r="Q28" s="176"/>
      <c r="R28" s="176"/>
      <c r="S28" s="186">
        <f>+AF24</f>
        <v>960</v>
      </c>
      <c r="T28" s="187"/>
      <c r="U28" s="187"/>
      <c r="V28" s="187"/>
      <c r="W28" s="187"/>
      <c r="X28" s="187"/>
      <c r="Y28" s="188"/>
      <c r="Z28" s="177" t="s">
        <v>23</v>
      </c>
      <c r="AA28" s="177"/>
      <c r="AB28" s="177"/>
      <c r="AC28" s="177"/>
      <c r="AD28" s="177"/>
      <c r="AE28" s="23" t="s">
        <v>199</v>
      </c>
      <c r="AF28" s="21">
        <f>+AF27*0.2</f>
        <v>2681.28</v>
      </c>
      <c r="AG28" s="21" t="s">
        <v>198</v>
      </c>
      <c r="AH28" s="48">
        <v>3</v>
      </c>
    </row>
    <row r="29" spans="1:35" ht="15" customHeight="1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6"/>
      <c r="M29" s="176"/>
      <c r="N29" s="176"/>
      <c r="O29" s="176"/>
      <c r="P29" s="176"/>
      <c r="Q29" s="176"/>
      <c r="R29" s="176"/>
      <c r="S29" s="186"/>
      <c r="T29" s="187"/>
      <c r="U29" s="187"/>
      <c r="V29" s="187"/>
      <c r="W29" s="187"/>
      <c r="X29" s="187"/>
      <c r="Y29" s="188"/>
      <c r="Z29" s="177" t="s">
        <v>23</v>
      </c>
      <c r="AA29" s="177"/>
      <c r="AB29" s="177"/>
      <c r="AC29" s="177"/>
      <c r="AD29" s="177"/>
      <c r="AE29" s="24" t="s">
        <v>200</v>
      </c>
      <c r="AF29" s="48">
        <f>2681*0.3</f>
        <v>804.3</v>
      </c>
      <c r="AG29" s="48" t="s">
        <v>210</v>
      </c>
      <c r="AH29" s="48">
        <v>3</v>
      </c>
    </row>
    <row r="30" spans="1:35" ht="15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6"/>
      <c r="M30" s="176"/>
      <c r="N30" s="176"/>
      <c r="O30" s="176"/>
      <c r="P30" s="176"/>
      <c r="Q30" s="176"/>
      <c r="R30" s="176"/>
      <c r="S30" s="186"/>
      <c r="T30" s="187"/>
      <c r="U30" s="187"/>
      <c r="V30" s="187"/>
      <c r="W30" s="187"/>
      <c r="X30" s="187"/>
      <c r="Y30" s="188"/>
      <c r="Z30" s="177" t="s">
        <v>23</v>
      </c>
      <c r="AA30" s="177"/>
      <c r="AB30" s="177"/>
      <c r="AC30" s="177"/>
      <c r="AD30" s="177"/>
      <c r="AE30" s="24" t="s">
        <v>228</v>
      </c>
      <c r="AF30" s="48">
        <v>4380</v>
      </c>
      <c r="AG30" s="48" t="s">
        <v>201</v>
      </c>
      <c r="AH30" s="48">
        <v>4</v>
      </c>
      <c r="AI30" s="174"/>
    </row>
    <row r="31" spans="1:35" ht="15">
      <c r="A31" s="184" t="s">
        <v>68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5"/>
      <c r="S31" s="186"/>
      <c r="T31" s="187"/>
      <c r="U31" s="187"/>
      <c r="V31" s="187"/>
      <c r="W31" s="187"/>
      <c r="X31" s="187"/>
      <c r="Y31" s="188"/>
      <c r="Z31" s="177" t="s">
        <v>23</v>
      </c>
      <c r="AA31" s="177"/>
      <c r="AB31" s="177"/>
      <c r="AC31" s="177"/>
      <c r="AD31" s="177"/>
      <c r="AE31" s="24" t="s">
        <v>203</v>
      </c>
      <c r="AF31" s="48">
        <f>(7170-2151)/1.2</f>
        <v>4182.5</v>
      </c>
      <c r="AG31" s="48" t="s">
        <v>202</v>
      </c>
      <c r="AH31" s="48">
        <v>5</v>
      </c>
      <c r="AI31" s="174"/>
    </row>
    <row r="32" spans="1:35" ht="15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204"/>
      <c r="S32" s="186"/>
      <c r="T32" s="187"/>
      <c r="U32" s="187"/>
      <c r="V32" s="187"/>
      <c r="W32" s="187"/>
      <c r="X32" s="187"/>
      <c r="Y32" s="188"/>
      <c r="Z32" s="177" t="s">
        <v>23</v>
      </c>
      <c r="AA32" s="177"/>
      <c r="AB32" s="177"/>
      <c r="AC32" s="177"/>
      <c r="AD32" s="177"/>
      <c r="AE32" s="23" t="s">
        <v>203</v>
      </c>
      <c r="AF32" s="48">
        <v>260</v>
      </c>
      <c r="AG32" s="48" t="s">
        <v>206</v>
      </c>
      <c r="AH32" s="4">
        <v>6</v>
      </c>
      <c r="AI32" s="174"/>
    </row>
    <row r="33" spans="1:35" ht="15">
      <c r="A33" s="14" t="s">
        <v>69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5"/>
      <c r="S33" s="183" t="s">
        <v>30</v>
      </c>
      <c r="T33" s="183"/>
      <c r="U33" s="183"/>
      <c r="V33" s="183"/>
      <c r="W33" s="183"/>
      <c r="X33" s="183"/>
      <c r="Y33" s="183"/>
      <c r="Z33" s="183" t="s">
        <v>31</v>
      </c>
      <c r="AA33" s="183"/>
      <c r="AB33" s="183"/>
      <c r="AC33" s="183"/>
      <c r="AD33" s="183"/>
      <c r="AE33" s="23" t="s">
        <v>203</v>
      </c>
      <c r="AF33" s="48">
        <f>1700*482/1000</f>
        <v>819.4</v>
      </c>
      <c r="AG33" s="48" t="s">
        <v>207</v>
      </c>
      <c r="AH33" s="4">
        <v>7</v>
      </c>
      <c r="AI33" s="174"/>
    </row>
    <row r="34" spans="1:35" ht="15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2"/>
      <c r="S34" s="213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3" t="s">
        <v>203</v>
      </c>
      <c r="AF34" s="48">
        <v>2930</v>
      </c>
      <c r="AG34" s="48" t="s">
        <v>215</v>
      </c>
      <c r="AH34" s="4">
        <v>10</v>
      </c>
      <c r="AI34" s="174"/>
    </row>
    <row r="35" spans="1:35" ht="33.75" customHeight="1">
      <c r="A35" s="205" t="s">
        <v>70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183" t="s">
        <v>22</v>
      </c>
      <c r="T35" s="183"/>
      <c r="U35" s="183"/>
      <c r="V35" s="183"/>
      <c r="W35" s="183"/>
      <c r="X35" s="183"/>
      <c r="Y35" s="183"/>
      <c r="Z35" s="183" t="s">
        <v>22</v>
      </c>
      <c r="AA35" s="183"/>
      <c r="AB35" s="183"/>
      <c r="AC35" s="183"/>
      <c r="AD35" s="183"/>
      <c r="AE35" s="23" t="s">
        <v>203</v>
      </c>
      <c r="AF35" s="48">
        <v>100</v>
      </c>
      <c r="AG35" s="48" t="s">
        <v>216</v>
      </c>
      <c r="AH35" s="48">
        <v>11</v>
      </c>
    </row>
    <row r="36" spans="1:35" ht="42" customHeight="1">
      <c r="A36" s="205" t="s">
        <v>71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6">
        <f>+S13-S15+S16+S17-Z17+S22+S26+S31</f>
        <v>92449.38453333333</v>
      </c>
      <c r="T36" s="206"/>
      <c r="U36" s="206"/>
      <c r="V36" s="206"/>
      <c r="W36" s="206"/>
      <c r="X36" s="206"/>
      <c r="Y36" s="206"/>
      <c r="Z36" s="206">
        <f>+Z13-Z15+Z16+Z17+Z18-Z20+Z21+S34-Z34</f>
        <v>18655.215809523808</v>
      </c>
      <c r="AA36" s="206"/>
      <c r="AB36" s="206"/>
      <c r="AC36" s="206"/>
      <c r="AD36" s="206"/>
      <c r="AE36" s="24" t="s">
        <v>204</v>
      </c>
      <c r="AF36" s="48">
        <f>+AF31*0.2</f>
        <v>836.5</v>
      </c>
      <c r="AG36" s="48" t="s">
        <v>205</v>
      </c>
      <c r="AH36" s="48">
        <v>5</v>
      </c>
    </row>
    <row r="37" spans="1:35" ht="15">
      <c r="A37" s="20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8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3" t="s">
        <v>204</v>
      </c>
      <c r="AF37" s="48">
        <f>+AF33*0.2</f>
        <v>163.88</v>
      </c>
      <c r="AG37" s="48" t="s">
        <v>209</v>
      </c>
      <c r="AH37" s="4">
        <v>7</v>
      </c>
    </row>
    <row r="38" spans="1:35" ht="15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27"/>
      <c r="AF38" s="48"/>
      <c r="AG38" s="48" t="s">
        <v>221</v>
      </c>
      <c r="AH38" s="4">
        <v>8</v>
      </c>
    </row>
    <row r="39" spans="1:35" ht="15">
      <c r="A39" s="182" t="s">
        <v>32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215"/>
      <c r="S39" s="216" t="s">
        <v>33</v>
      </c>
      <c r="T39" s="182"/>
      <c r="U39" s="182"/>
      <c r="V39" s="182"/>
      <c r="W39" s="182"/>
      <c r="X39" s="182"/>
      <c r="Y39" s="182"/>
      <c r="Z39" s="182" t="s">
        <v>72</v>
      </c>
      <c r="AA39" s="182"/>
      <c r="AB39" s="182"/>
      <c r="AC39" s="182"/>
      <c r="AD39" s="182"/>
      <c r="AE39" s="24" t="s">
        <v>213</v>
      </c>
      <c r="AF39" s="48">
        <f>+ 805*0.4*0.2</f>
        <v>64.400000000000006</v>
      </c>
      <c r="AG39" s="48" t="s">
        <v>214</v>
      </c>
      <c r="AH39" s="4">
        <v>9</v>
      </c>
    </row>
    <row r="40" spans="1:35" ht="18" customHeight="1">
      <c r="A40" s="211" t="s">
        <v>34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2"/>
      <c r="S40" s="217">
        <f>+AF27</f>
        <v>13406.4</v>
      </c>
      <c r="T40" s="217"/>
      <c r="U40" s="217"/>
      <c r="V40" s="217"/>
      <c r="W40" s="217"/>
      <c r="X40" s="217"/>
      <c r="Y40" s="217"/>
      <c r="Z40" s="217">
        <f>+AF28</f>
        <v>2681.28</v>
      </c>
      <c r="AA40" s="217"/>
      <c r="AB40" s="217"/>
      <c r="AC40" s="217"/>
      <c r="AD40" s="218"/>
      <c r="AE40" s="24" t="s">
        <v>219</v>
      </c>
      <c r="AF40" s="48">
        <f>870/6</f>
        <v>145</v>
      </c>
      <c r="AG40" s="48" t="s">
        <v>220</v>
      </c>
      <c r="AH40" s="4">
        <v>1.6</v>
      </c>
    </row>
    <row r="41" spans="1:35" ht="18" customHeight="1">
      <c r="A41" s="184" t="s">
        <v>35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5"/>
      <c r="S41" s="176">
        <f>+AF31+AF32+AF33+AF34+AF35</f>
        <v>8291.9</v>
      </c>
      <c r="T41" s="176"/>
      <c r="U41" s="176"/>
      <c r="V41" s="176"/>
      <c r="W41" s="176"/>
      <c r="X41" s="176"/>
      <c r="Y41" s="176"/>
      <c r="Z41" s="176">
        <f>+AF36+AF37</f>
        <v>1000.38</v>
      </c>
      <c r="AA41" s="176"/>
      <c r="AB41" s="176"/>
      <c r="AC41" s="176"/>
      <c r="AD41" s="214"/>
      <c r="AE41" s="25"/>
      <c r="AF41" s="48"/>
      <c r="AG41" s="48"/>
    </row>
    <row r="42" spans="1:35" ht="18" customHeight="1">
      <c r="A42" s="184" t="s">
        <v>36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5"/>
      <c r="S42" s="192" t="s">
        <v>23</v>
      </c>
      <c r="T42" s="193"/>
      <c r="U42" s="193"/>
      <c r="V42" s="193"/>
      <c r="W42" s="193"/>
      <c r="X42" s="193"/>
      <c r="Y42" s="194"/>
      <c r="Z42" s="192" t="s">
        <v>23</v>
      </c>
      <c r="AA42" s="193"/>
      <c r="AB42" s="193"/>
      <c r="AC42" s="193"/>
      <c r="AD42" s="193"/>
      <c r="AE42" s="25"/>
      <c r="AF42" s="48"/>
      <c r="AG42" s="48"/>
    </row>
    <row r="43" spans="1:35" ht="15">
      <c r="A43" s="184" t="s">
        <v>64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5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24"/>
      <c r="AF43" s="48"/>
      <c r="AG43" s="48"/>
    </row>
    <row r="44" spans="1:35" ht="15">
      <c r="A44" s="189" t="s">
        <v>65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204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23"/>
      <c r="AF44" s="48"/>
      <c r="AG44" s="48"/>
    </row>
    <row r="45" spans="1:35" ht="42.75" customHeight="1">
      <c r="A45" s="219" t="s">
        <v>73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204"/>
      <c r="S45" s="220" t="s">
        <v>30</v>
      </c>
      <c r="T45" s="183"/>
      <c r="U45" s="183"/>
      <c r="V45" s="183"/>
      <c r="W45" s="183"/>
      <c r="X45" s="183"/>
      <c r="Y45" s="183"/>
      <c r="Z45" s="183" t="s">
        <v>31</v>
      </c>
      <c r="AA45" s="183"/>
      <c r="AB45" s="183"/>
      <c r="AC45" s="183"/>
      <c r="AD45" s="183"/>
      <c r="AE45" s="23"/>
      <c r="AF45" s="48"/>
      <c r="AG45" s="48"/>
    </row>
    <row r="46" spans="1:35" ht="15">
      <c r="A46" s="210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2"/>
      <c r="S46" s="213">
        <f>SUM(S48:Y52)</f>
        <v>4525</v>
      </c>
      <c r="T46" s="206"/>
      <c r="U46" s="206"/>
      <c r="V46" s="206"/>
      <c r="W46" s="206"/>
      <c r="X46" s="206"/>
      <c r="Y46" s="206"/>
      <c r="Z46" s="206">
        <f>SUM(Z48:AD52)</f>
        <v>978.69999999999993</v>
      </c>
      <c r="AA46" s="206"/>
      <c r="AB46" s="206"/>
      <c r="AC46" s="206"/>
      <c r="AD46" s="206"/>
      <c r="AE46" s="23"/>
      <c r="AF46" s="48"/>
      <c r="AG46" s="48"/>
    </row>
    <row r="47" spans="1:35" ht="18" customHeight="1">
      <c r="A47" s="221" t="s">
        <v>27</v>
      </c>
      <c r="B47" s="221"/>
      <c r="C47" s="221"/>
      <c r="D47" s="221"/>
      <c r="E47" s="221"/>
      <c r="F47" s="221"/>
      <c r="G47" s="221" t="s">
        <v>67</v>
      </c>
      <c r="H47" s="221"/>
      <c r="I47" s="221"/>
      <c r="J47" s="221"/>
      <c r="K47" s="221"/>
      <c r="L47" s="222" t="s">
        <v>28</v>
      </c>
      <c r="M47" s="222"/>
      <c r="N47" s="222"/>
      <c r="O47" s="222"/>
      <c r="P47" s="222"/>
      <c r="Q47" s="222"/>
      <c r="R47" s="222"/>
      <c r="S47" s="192" t="s">
        <v>23</v>
      </c>
      <c r="T47" s="193"/>
      <c r="U47" s="193"/>
      <c r="V47" s="193"/>
      <c r="W47" s="193"/>
      <c r="X47" s="193"/>
      <c r="Y47" s="194"/>
      <c r="Z47" s="192" t="s">
        <v>23</v>
      </c>
      <c r="AA47" s="193"/>
      <c r="AB47" s="193"/>
      <c r="AC47" s="193"/>
      <c r="AD47" s="193"/>
      <c r="AE47" s="23"/>
      <c r="AF47" s="48"/>
      <c r="AG47" s="48"/>
    </row>
    <row r="48" spans="1:35" ht="18" customHeight="1">
      <c r="A48" s="175" t="s">
        <v>190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>
        <f>+AF26</f>
        <v>110</v>
      </c>
      <c r="AA48" s="176"/>
      <c r="AB48" s="176"/>
      <c r="AC48" s="176"/>
      <c r="AD48" s="176"/>
      <c r="AE48" s="23"/>
      <c r="AF48" s="48"/>
      <c r="AG48" s="48"/>
    </row>
    <row r="49" spans="1:33" ht="15">
      <c r="A49" s="175" t="s">
        <v>200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>
        <f>+AF29</f>
        <v>804.3</v>
      </c>
      <c r="AA49" s="176"/>
      <c r="AB49" s="176"/>
      <c r="AC49" s="176"/>
      <c r="AD49" s="176"/>
      <c r="AE49" s="23"/>
      <c r="AF49" s="48"/>
      <c r="AG49" s="48"/>
    </row>
    <row r="50" spans="1:33" ht="15">
      <c r="A50" s="175" t="s">
        <v>228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6"/>
      <c r="M50" s="176"/>
      <c r="N50" s="176"/>
      <c r="O50" s="176"/>
      <c r="P50" s="176"/>
      <c r="Q50" s="176"/>
      <c r="R50" s="176"/>
      <c r="S50" s="176">
        <f>+AF30</f>
        <v>4380</v>
      </c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23"/>
      <c r="AF50" s="48"/>
      <c r="AG50" s="48"/>
    </row>
    <row r="51" spans="1:33" ht="15">
      <c r="A51" s="175" t="s">
        <v>213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>
        <f>+AF39</f>
        <v>64.400000000000006</v>
      </c>
      <c r="AA51" s="176"/>
      <c r="AB51" s="176"/>
      <c r="AC51" s="176"/>
      <c r="AD51" s="176"/>
      <c r="AE51" s="23"/>
      <c r="AF51" s="48"/>
      <c r="AG51" s="48"/>
    </row>
    <row r="52" spans="1:33" ht="15">
      <c r="A52" s="175" t="s">
        <v>219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6"/>
      <c r="M52" s="176"/>
      <c r="N52" s="176"/>
      <c r="O52" s="176"/>
      <c r="P52" s="176"/>
      <c r="Q52" s="176"/>
      <c r="R52" s="176"/>
      <c r="S52" s="176">
        <f>+AF40</f>
        <v>145</v>
      </c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23"/>
      <c r="AF52" s="48"/>
      <c r="AG52" s="48"/>
    </row>
    <row r="53" spans="1:33" ht="90" customHeight="1">
      <c r="A53" s="243" t="s">
        <v>74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5"/>
      <c r="S53" s="188" t="s">
        <v>37</v>
      </c>
      <c r="T53" s="176"/>
      <c r="U53" s="176"/>
      <c r="V53" s="176"/>
      <c r="W53" s="176"/>
      <c r="X53" s="176"/>
      <c r="Y53" s="176"/>
      <c r="Z53" s="176" t="s">
        <v>38</v>
      </c>
      <c r="AA53" s="176"/>
      <c r="AB53" s="176"/>
      <c r="AC53" s="176"/>
      <c r="AD53" s="176"/>
      <c r="AE53" s="23"/>
      <c r="AF53" s="21"/>
      <c r="AG53" s="21"/>
    </row>
    <row r="54" spans="1:33" ht="15">
      <c r="A54" s="247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9"/>
      <c r="S54" s="213">
        <f>+Z40+Z41+S46-Z46</f>
        <v>7227.96</v>
      </c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</row>
    <row r="55" spans="1:33" ht="15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</row>
    <row r="56" spans="1:33" ht="27" customHeight="1">
      <c r="A56" s="240" t="s">
        <v>39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183" t="s">
        <v>75</v>
      </c>
      <c r="T56" s="183"/>
      <c r="U56" s="183"/>
      <c r="V56" s="183"/>
      <c r="W56" s="183"/>
      <c r="X56" s="183"/>
      <c r="Y56" s="183"/>
      <c r="Z56" s="183" t="s">
        <v>76</v>
      </c>
      <c r="AA56" s="183"/>
      <c r="AB56" s="183"/>
      <c r="AC56" s="183"/>
      <c r="AD56" s="183"/>
    </row>
    <row r="57" spans="1:33" ht="32.25" customHeight="1">
      <c r="A57" s="240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2"/>
      <c r="S57" s="228"/>
      <c r="T57" s="229"/>
      <c r="U57" s="229"/>
      <c r="V57" s="229"/>
      <c r="W57" s="229"/>
      <c r="X57" s="229"/>
      <c r="Y57" s="230"/>
      <c r="Z57" s="229"/>
      <c r="AA57" s="229"/>
      <c r="AB57" s="229"/>
      <c r="AC57" s="229"/>
      <c r="AD57" s="230"/>
    </row>
    <row r="58" spans="1:33" ht="15.75" customHeight="1">
      <c r="A58" s="240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2"/>
      <c r="S58" s="234"/>
      <c r="T58" s="235"/>
      <c r="U58" s="235"/>
      <c r="V58" s="235"/>
      <c r="W58" s="235"/>
      <c r="X58" s="235"/>
      <c r="Y58" s="236"/>
      <c r="Z58" s="235"/>
      <c r="AA58" s="235"/>
      <c r="AB58" s="235"/>
      <c r="AC58" s="235"/>
      <c r="AD58" s="236"/>
    </row>
    <row r="59" spans="1:33" ht="15">
      <c r="A59" s="225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227"/>
    </row>
    <row r="60" spans="1:33" ht="28.5" customHeight="1">
      <c r="A60" s="228" t="s">
        <v>40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30"/>
      <c r="S60" s="183" t="s">
        <v>41</v>
      </c>
      <c r="T60" s="183"/>
      <c r="U60" s="183"/>
      <c r="V60" s="183"/>
      <c r="W60" s="183"/>
      <c r="X60" s="183"/>
      <c r="Y60" s="183"/>
      <c r="Z60" s="183" t="s">
        <v>42</v>
      </c>
      <c r="AA60" s="183"/>
      <c r="AB60" s="183"/>
      <c r="AC60" s="183"/>
      <c r="AD60" s="183"/>
    </row>
    <row r="61" spans="1:33" ht="18" customHeight="1">
      <c r="A61" s="231"/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</row>
    <row r="62" spans="1:33" ht="67.5" customHeight="1">
      <c r="A62" s="231"/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</row>
    <row r="63" spans="1:33" ht="34.9" customHeight="1">
      <c r="A63" s="234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6"/>
      <c r="S63" s="237">
        <f>+Z36-S54</f>
        <v>11427.255809523809</v>
      </c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</row>
    <row r="64" spans="1:33" ht="7.5" customHeight="1">
      <c r="A64" s="16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6" spans="1:30" ht="15">
      <c r="A66" s="239" t="s">
        <v>77</v>
      </c>
      <c r="B66" s="239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</row>
    <row r="67" spans="1:30" ht="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5">
      <c r="A68" s="246" t="s">
        <v>78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</row>
    <row r="69" spans="1:30" ht="15">
      <c r="A69" s="223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</row>
    <row r="70" spans="1:30" ht="15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</row>
    <row r="71" spans="1:30" ht="15">
      <c r="A71" s="22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</row>
    <row r="72" spans="1:30" ht="15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</row>
    <row r="73" spans="1:30" ht="15">
      <c r="A73" s="223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</row>
    <row r="74" spans="1:30" ht="15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</row>
    <row r="75" spans="1:30" ht="15">
      <c r="A75" s="223"/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</row>
    <row r="76" spans="1:30" ht="15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</row>
    <row r="77" spans="1:30" ht="15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</row>
    <row r="78" spans="1:30" ht="15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</row>
    <row r="79" spans="1:30" ht="15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</row>
  </sheetData>
  <mergeCells count="207">
    <mergeCell ref="A68:AD68"/>
    <mergeCell ref="A52:F52"/>
    <mergeCell ref="G52:K52"/>
    <mergeCell ref="L52:R52"/>
    <mergeCell ref="S52:Y52"/>
    <mergeCell ref="Z52:AD52"/>
    <mergeCell ref="A55:AD55"/>
    <mergeCell ref="A79:AD79"/>
    <mergeCell ref="A69:AD69"/>
    <mergeCell ref="A70:AD70"/>
    <mergeCell ref="A71:AD71"/>
    <mergeCell ref="A72:AD72"/>
    <mergeCell ref="A73:AD73"/>
    <mergeCell ref="A74:AD74"/>
    <mergeCell ref="Z53:AD53"/>
    <mergeCell ref="A54:R54"/>
    <mergeCell ref="S54:Y54"/>
    <mergeCell ref="Z54:AD54"/>
    <mergeCell ref="A51:F51"/>
    <mergeCell ref="G51:K51"/>
    <mergeCell ref="L51:R51"/>
    <mergeCell ref="S51:Y51"/>
    <mergeCell ref="Z51:AD51"/>
    <mergeCell ref="A75:AD75"/>
    <mergeCell ref="A76:AD76"/>
    <mergeCell ref="A77:AD77"/>
    <mergeCell ref="A78:AD78"/>
    <mergeCell ref="A59:AD59"/>
    <mergeCell ref="A60:R62"/>
    <mergeCell ref="S60:Y62"/>
    <mergeCell ref="Z60:AD62"/>
    <mergeCell ref="A63:R63"/>
    <mergeCell ref="S63:Y63"/>
    <mergeCell ref="Z63:AD63"/>
    <mergeCell ref="A66:AD66"/>
    <mergeCell ref="A56:R58"/>
    <mergeCell ref="S56:Y56"/>
    <mergeCell ref="Z56:AD56"/>
    <mergeCell ref="S57:Y58"/>
    <mergeCell ref="Z57:AD58"/>
    <mergeCell ref="A53:R53"/>
    <mergeCell ref="S53:Y53"/>
    <mergeCell ref="A49:F49"/>
    <mergeCell ref="G49:K49"/>
    <mergeCell ref="L49:R49"/>
    <mergeCell ref="S49:Y49"/>
    <mergeCell ref="Z49:AD49"/>
    <mergeCell ref="A50:F50"/>
    <mergeCell ref="G50:K50"/>
    <mergeCell ref="L50:R50"/>
    <mergeCell ref="S50:Y50"/>
    <mergeCell ref="Z50:AD50"/>
    <mergeCell ref="A47:F47"/>
    <mergeCell ref="G47:K47"/>
    <mergeCell ref="L47:R47"/>
    <mergeCell ref="S47:Y47"/>
    <mergeCell ref="Z47:AD47"/>
    <mergeCell ref="A48:F48"/>
    <mergeCell ref="G48:K48"/>
    <mergeCell ref="L48:R48"/>
    <mergeCell ref="S48:Y48"/>
    <mergeCell ref="Z48:AD48"/>
    <mergeCell ref="A45:R45"/>
    <mergeCell ref="S45:Y45"/>
    <mergeCell ref="Z45:AD45"/>
    <mergeCell ref="A46:R46"/>
    <mergeCell ref="S46:Y46"/>
    <mergeCell ref="Z46:AD46"/>
    <mergeCell ref="A43:R43"/>
    <mergeCell ref="S43:Y43"/>
    <mergeCell ref="Z43:AD43"/>
    <mergeCell ref="A44:R44"/>
    <mergeCell ref="S44:Y44"/>
    <mergeCell ref="Z44:AD44"/>
    <mergeCell ref="A41:R41"/>
    <mergeCell ref="S41:Y41"/>
    <mergeCell ref="Z41:AD41"/>
    <mergeCell ref="A42:R42"/>
    <mergeCell ref="S42:Y42"/>
    <mergeCell ref="Z42:AD42"/>
    <mergeCell ref="A38:AD38"/>
    <mergeCell ref="A39:R39"/>
    <mergeCell ref="S39:Y39"/>
    <mergeCell ref="Z39:AD39"/>
    <mergeCell ref="A40:R40"/>
    <mergeCell ref="S40:Y40"/>
    <mergeCell ref="Z40:AD40"/>
    <mergeCell ref="A36:R36"/>
    <mergeCell ref="S36:Y36"/>
    <mergeCell ref="Z36:AD36"/>
    <mergeCell ref="A37:R37"/>
    <mergeCell ref="S37:Y37"/>
    <mergeCell ref="Z37:AD37"/>
    <mergeCell ref="S33:Y33"/>
    <mergeCell ref="Z33:AD33"/>
    <mergeCell ref="A34:R34"/>
    <mergeCell ref="S34:Y34"/>
    <mergeCell ref="Z34:AD34"/>
    <mergeCell ref="A35:R35"/>
    <mergeCell ref="S35:Y35"/>
    <mergeCell ref="Z35:AD35"/>
    <mergeCell ref="A31:R31"/>
    <mergeCell ref="S31:Y31"/>
    <mergeCell ref="Z31:AD31"/>
    <mergeCell ref="A32:R32"/>
    <mergeCell ref="S32:Y32"/>
    <mergeCell ref="Z32:AD32"/>
    <mergeCell ref="A26:R26"/>
    <mergeCell ref="S26:Y26"/>
    <mergeCell ref="Z26:AD26"/>
    <mergeCell ref="A27:F27"/>
    <mergeCell ref="G27:K27"/>
    <mergeCell ref="L27:R27"/>
    <mergeCell ref="S27:Y27"/>
    <mergeCell ref="Z27:AD27"/>
    <mergeCell ref="A30:F30"/>
    <mergeCell ref="G30:K30"/>
    <mergeCell ref="L30:R30"/>
    <mergeCell ref="G29:K29"/>
    <mergeCell ref="L29:R29"/>
    <mergeCell ref="S29:Y29"/>
    <mergeCell ref="Z29:AD29"/>
    <mergeCell ref="S30:Y30"/>
    <mergeCell ref="Z30:AD30"/>
    <mergeCell ref="A29:F29"/>
    <mergeCell ref="A20:R20"/>
    <mergeCell ref="S20:Y20"/>
    <mergeCell ref="Z20:AD20"/>
    <mergeCell ref="A23:F23"/>
    <mergeCell ref="G23:K23"/>
    <mergeCell ref="L23:R23"/>
    <mergeCell ref="S23:Y23"/>
    <mergeCell ref="Z23:AD23"/>
    <mergeCell ref="A24:F24"/>
    <mergeCell ref="G24:K24"/>
    <mergeCell ref="L24:R24"/>
    <mergeCell ref="S24:Y24"/>
    <mergeCell ref="Z24:AD24"/>
    <mergeCell ref="S28:Y28"/>
    <mergeCell ref="Z28:AD28"/>
    <mergeCell ref="V5:X5"/>
    <mergeCell ref="Y5:Z5"/>
    <mergeCell ref="J4:AD4"/>
    <mergeCell ref="F5:G5"/>
    <mergeCell ref="A28:F28"/>
    <mergeCell ref="G28:K28"/>
    <mergeCell ref="L28:R28"/>
    <mergeCell ref="AA5:AB5"/>
    <mergeCell ref="A6:I6"/>
    <mergeCell ref="S18:Y18"/>
    <mergeCell ref="Z18:AD18"/>
    <mergeCell ref="A15:R15"/>
    <mergeCell ref="S15:Y15"/>
    <mergeCell ref="Z15:AD15"/>
    <mergeCell ref="A16:R16"/>
    <mergeCell ref="S16:Y16"/>
    <mergeCell ref="Z16:AD16"/>
    <mergeCell ref="S22:Y22"/>
    <mergeCell ref="Z22:AD22"/>
    <mergeCell ref="A19:R19"/>
    <mergeCell ref="S19:Y19"/>
    <mergeCell ref="Z19:AD19"/>
    <mergeCell ref="J6:AD6"/>
    <mergeCell ref="A7:I7"/>
    <mergeCell ref="J7:AD7"/>
    <mergeCell ref="K5:M5"/>
    <mergeCell ref="N5:P5"/>
    <mergeCell ref="Q5:S5"/>
    <mergeCell ref="T5:U5"/>
    <mergeCell ref="A2:I3"/>
    <mergeCell ref="J2:AD2"/>
    <mergeCell ref="J3:AD3"/>
    <mergeCell ref="A4:I4"/>
    <mergeCell ref="AB8:AD8"/>
    <mergeCell ref="A9:I9"/>
    <mergeCell ref="J9:AD9"/>
    <mergeCell ref="A10:AD10"/>
    <mergeCell ref="A8:I8"/>
    <mergeCell ref="J8:K8"/>
    <mergeCell ref="L8:Q8"/>
    <mergeCell ref="R8:T8"/>
    <mergeCell ref="U8:W8"/>
    <mergeCell ref="X8:AA8"/>
    <mergeCell ref="A25:F25"/>
    <mergeCell ref="G25:K25"/>
    <mergeCell ref="L25:R25"/>
    <mergeCell ref="S25:Y25"/>
    <mergeCell ref="Z25:AD25"/>
    <mergeCell ref="A11:R12"/>
    <mergeCell ref="S11:Y11"/>
    <mergeCell ref="Z11:AD11"/>
    <mergeCell ref="S12:Y12"/>
    <mergeCell ref="Z12:AD12"/>
    <mergeCell ref="A17:R17"/>
    <mergeCell ref="S17:Y17"/>
    <mergeCell ref="Z17:AD17"/>
    <mergeCell ref="A18:R18"/>
    <mergeCell ref="A13:R13"/>
    <mergeCell ref="S13:Y13"/>
    <mergeCell ref="Z13:AD13"/>
    <mergeCell ref="A14:R14"/>
    <mergeCell ref="S14:Y14"/>
    <mergeCell ref="Z14:AD14"/>
    <mergeCell ref="A21:R21"/>
    <mergeCell ref="S21:Y21"/>
    <mergeCell ref="Z21:AD21"/>
    <mergeCell ref="A22:R22"/>
  </mergeCells>
  <phoneticPr fontId="26" type="noConversion"/>
  <pageMargins left="0.35433070866141736" right="0.15748031496062992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"/>
  <sheetViews>
    <sheetView zoomScale="110" zoomScaleNormal="110" workbookViewId="0">
      <selection activeCell="H14" sqref="H14:H20"/>
    </sheetView>
  </sheetViews>
  <sheetFormatPr defaultColWidth="8.85546875" defaultRowHeight="11.25"/>
  <cols>
    <col min="1" max="1" width="4.140625" style="60" bestFit="1" customWidth="1"/>
    <col min="2" max="2" width="28.85546875" style="60" bestFit="1" customWidth="1"/>
    <col min="3" max="3" width="18.140625" style="60" bestFit="1" customWidth="1"/>
    <col min="4" max="4" width="18.7109375" style="60" bestFit="1" customWidth="1"/>
    <col min="5" max="5" width="20.85546875" style="60" bestFit="1" customWidth="1"/>
    <col min="6" max="6" width="37.28515625" style="60" customWidth="1"/>
    <col min="7" max="7" width="12.140625" style="60" bestFit="1" customWidth="1"/>
    <col min="8" max="8" width="28.140625" style="63" customWidth="1"/>
    <col min="9" max="9" width="9.140625" style="63" bestFit="1" customWidth="1"/>
    <col min="10" max="10" width="11.140625" style="60" bestFit="1" customWidth="1"/>
    <col min="11" max="11" width="9.7109375" style="60" bestFit="1" customWidth="1"/>
    <col min="12" max="12" width="11.7109375" style="60" customWidth="1"/>
    <col min="13" max="16384" width="8.85546875" style="60"/>
  </cols>
  <sheetData>
    <row r="1" spans="2:8">
      <c r="B1" s="61"/>
      <c r="C1" s="62"/>
      <c r="D1" s="62"/>
      <c r="E1" s="62"/>
      <c r="F1" s="62"/>
    </row>
    <row r="2" spans="2:8" ht="15" customHeight="1">
      <c r="B2" s="64" t="s">
        <v>8</v>
      </c>
      <c r="C2" s="65" t="s">
        <v>229</v>
      </c>
      <c r="D2" s="66" t="s">
        <v>230</v>
      </c>
      <c r="E2" s="66" t="s">
        <v>231</v>
      </c>
      <c r="F2" s="66" t="s">
        <v>232</v>
      </c>
    </row>
    <row r="3" spans="2:8">
      <c r="B3" s="67" t="s">
        <v>87</v>
      </c>
      <c r="C3" s="65" t="s">
        <v>233</v>
      </c>
      <c r="D3" s="65" t="s">
        <v>233</v>
      </c>
      <c r="E3" s="65" t="s">
        <v>234</v>
      </c>
      <c r="F3" s="65" t="s">
        <v>234</v>
      </c>
    </row>
    <row r="4" spans="2:8">
      <c r="B4" s="64" t="s">
        <v>9</v>
      </c>
      <c r="C4" s="65" t="s">
        <v>11</v>
      </c>
      <c r="D4" s="65" t="s">
        <v>235</v>
      </c>
      <c r="E4" s="65" t="s">
        <v>236</v>
      </c>
      <c r="F4" s="65" t="s">
        <v>237</v>
      </c>
    </row>
    <row r="5" spans="2:8">
      <c r="B5" s="64" t="s">
        <v>239</v>
      </c>
      <c r="C5" s="68">
        <v>950000</v>
      </c>
      <c r="D5" s="106">
        <f>+(420000+8500-27500)/0.68</f>
        <v>589705.88235294109</v>
      </c>
      <c r="E5" s="106">
        <f>+(500000+8500)/0.78</f>
        <v>651923.07692307688</v>
      </c>
      <c r="F5" s="68">
        <v>350000</v>
      </c>
      <c r="G5" s="70"/>
    </row>
    <row r="6" spans="2:8">
      <c r="B6" s="64" t="s">
        <v>238</v>
      </c>
      <c r="C6" s="68"/>
      <c r="D6" s="68">
        <v>420000</v>
      </c>
      <c r="E6" s="68">
        <v>500000</v>
      </c>
      <c r="F6" s="68"/>
      <c r="G6" s="70"/>
    </row>
    <row r="7" spans="2:8" ht="27" customHeight="1">
      <c r="B7" s="64" t="s">
        <v>91</v>
      </c>
      <c r="C7" s="105"/>
      <c r="D7" s="83" t="s">
        <v>284</v>
      </c>
      <c r="E7" s="83" t="s">
        <v>249</v>
      </c>
      <c r="F7" s="71"/>
    </row>
    <row r="8" spans="2:8">
      <c r="B8" s="67" t="s">
        <v>12</v>
      </c>
      <c r="C8" s="72">
        <f>-C5*21%</f>
        <v>-199500</v>
      </c>
      <c r="D8" s="72">
        <f>-D5*21%</f>
        <v>-123838.23529411762</v>
      </c>
      <c r="E8" s="72">
        <f>-E5*21%</f>
        <v>-136903.84615384613</v>
      </c>
      <c r="F8" s="72">
        <f>-F5*21%</f>
        <v>-73500</v>
      </c>
      <c r="G8" s="111"/>
    </row>
    <row r="9" spans="2:8">
      <c r="B9" s="67" t="s">
        <v>86</v>
      </c>
      <c r="C9" s="72">
        <f>-C5*0.1+27500</f>
        <v>-67500</v>
      </c>
      <c r="D9" s="72">
        <f>-D5*0.1+27500</f>
        <v>-31470.588235294112</v>
      </c>
      <c r="E9" s="72"/>
      <c r="F9" s="73"/>
      <c r="G9" s="70"/>
    </row>
    <row r="10" spans="2:8">
      <c r="B10" s="67" t="s">
        <v>13</v>
      </c>
      <c r="C10" s="72">
        <v>-8500</v>
      </c>
      <c r="D10" s="72">
        <v>-8500</v>
      </c>
      <c r="E10" s="72">
        <v>-8500</v>
      </c>
      <c r="F10" s="72">
        <v>-5500</v>
      </c>
      <c r="G10" s="70"/>
    </row>
    <row r="11" spans="2:8">
      <c r="B11" s="67" t="s">
        <v>242</v>
      </c>
      <c r="C11" s="72">
        <f>-C5*1%</f>
        <v>-9500</v>
      </c>
      <c r="D11" s="72">
        <f>-D5*1%</f>
        <v>-5897.0588235294108</v>
      </c>
      <c r="E11" s="72">
        <f>-E5*1%</f>
        <v>-6519.2307692307686</v>
      </c>
      <c r="F11" s="72">
        <f>-F5*1%</f>
        <v>-3500</v>
      </c>
      <c r="G11" s="70"/>
    </row>
    <row r="12" spans="2:8">
      <c r="B12" s="64" t="s">
        <v>10</v>
      </c>
      <c r="C12" s="74">
        <f>+C5+C8+C9+C10+C11</f>
        <v>665000</v>
      </c>
      <c r="D12" s="68">
        <f>+D5+D8+D9+D10+D11</f>
        <v>420000</v>
      </c>
      <c r="E12" s="68">
        <f>+E5+E8+E9+E10+E11</f>
        <v>500000</v>
      </c>
      <c r="F12" s="69">
        <f>+F5+F8+F9+F10+F11</f>
        <v>267500</v>
      </c>
    </row>
    <row r="13" spans="2:8">
      <c r="B13" s="107"/>
      <c r="C13" s="108"/>
      <c r="D13" s="109"/>
      <c r="E13" s="109"/>
      <c r="F13" s="108"/>
    </row>
    <row r="14" spans="2:8" ht="34.15" customHeight="1">
      <c r="B14" s="64" t="s">
        <v>94</v>
      </c>
      <c r="C14" s="65" t="s">
        <v>90</v>
      </c>
      <c r="D14" s="75" t="s">
        <v>243</v>
      </c>
      <c r="E14" s="65" t="s">
        <v>104</v>
      </c>
      <c r="F14" s="65" t="s">
        <v>244</v>
      </c>
    </row>
    <row r="15" spans="2:8">
      <c r="B15" s="64" t="s">
        <v>89</v>
      </c>
      <c r="C15" s="76">
        <f>600000*0.4</f>
        <v>240000</v>
      </c>
      <c r="D15" s="77">
        <v>760000</v>
      </c>
      <c r="E15" s="76">
        <f>5*45000</f>
        <v>225000</v>
      </c>
      <c r="F15" s="76">
        <f>70000+1060000</f>
        <v>1130000</v>
      </c>
      <c r="G15" s="78"/>
      <c r="H15" s="78"/>
    </row>
    <row r="16" spans="2:8">
      <c r="B16" s="64" t="s">
        <v>92</v>
      </c>
      <c r="C16" s="76"/>
      <c r="D16" s="77"/>
      <c r="E16" s="76">
        <f>5*30000</f>
        <v>150000</v>
      </c>
      <c r="F16" s="76" t="s">
        <v>245</v>
      </c>
      <c r="G16" s="78"/>
    </row>
    <row r="17" spans="1:9" ht="22.5" customHeight="1">
      <c r="B17" s="64" t="s">
        <v>93</v>
      </c>
      <c r="C17" s="77">
        <f>+C15</f>
        <v>240000</v>
      </c>
      <c r="D17" s="77">
        <f>+D15/0.9</f>
        <v>844444.44444444438</v>
      </c>
      <c r="E17" s="76">
        <f>+E15-E16</f>
        <v>75000</v>
      </c>
      <c r="F17" s="110" t="s">
        <v>246</v>
      </c>
      <c r="G17" s="78"/>
      <c r="H17" s="78"/>
    </row>
    <row r="18" spans="1:9">
      <c r="B18" s="67" t="s">
        <v>12</v>
      </c>
      <c r="C18" s="79">
        <f>+C17*0.05</f>
        <v>12000</v>
      </c>
      <c r="D18" s="77">
        <f>+D17*10%</f>
        <v>84444.444444444438</v>
      </c>
      <c r="E18" s="79">
        <f>+E17*21%</f>
        <v>15750</v>
      </c>
      <c r="F18" s="79"/>
      <c r="G18" s="78"/>
    </row>
    <row r="19" spans="1:9">
      <c r="B19" s="80"/>
    </row>
    <row r="20" spans="1:9">
      <c r="B20" s="64" t="s">
        <v>8</v>
      </c>
      <c r="C20" s="65" t="s">
        <v>240</v>
      </c>
      <c r="D20" s="65" t="s">
        <v>241</v>
      </c>
      <c r="E20" s="65" t="s">
        <v>247</v>
      </c>
      <c r="F20" s="65" t="s">
        <v>248</v>
      </c>
    </row>
    <row r="21" spans="1:9">
      <c r="B21" s="64" t="s">
        <v>89</v>
      </c>
      <c r="C21" s="81">
        <v>23240000</v>
      </c>
      <c r="D21" s="81">
        <v>560000</v>
      </c>
      <c r="E21" s="81">
        <v>50000</v>
      </c>
      <c r="F21" s="81">
        <v>60000</v>
      </c>
      <c r="G21" s="70"/>
    </row>
    <row r="22" spans="1:9" ht="29.45" customHeight="1">
      <c r="B22" s="64" t="s">
        <v>91</v>
      </c>
      <c r="C22" s="82"/>
      <c r="D22" s="83" t="s">
        <v>249</v>
      </c>
      <c r="E22" s="83"/>
      <c r="F22" s="84"/>
    </row>
    <row r="23" spans="1:9">
      <c r="B23" s="64" t="s">
        <v>92</v>
      </c>
      <c r="C23" s="85">
        <v>23240000</v>
      </c>
      <c r="D23" s="85"/>
      <c r="E23" s="85"/>
      <c r="F23" s="86"/>
    </row>
    <row r="24" spans="1:9">
      <c r="B24" s="64" t="s">
        <v>93</v>
      </c>
      <c r="C24" s="77"/>
      <c r="D24" s="76">
        <f>+(560000+8500)/0.79</f>
        <v>719620.25316455693</v>
      </c>
      <c r="E24" s="76">
        <f>+E21</f>
        <v>50000</v>
      </c>
      <c r="F24" s="76">
        <f>+F21/0.9</f>
        <v>66666.666666666672</v>
      </c>
      <c r="G24" s="87"/>
    </row>
    <row r="25" spans="1:9">
      <c r="B25" s="64" t="s">
        <v>12</v>
      </c>
      <c r="C25" s="88">
        <v>0</v>
      </c>
      <c r="D25" s="88">
        <f>+D24*21%</f>
        <v>151120.25316455695</v>
      </c>
      <c r="E25" s="88">
        <f>+E24*20%</f>
        <v>10000</v>
      </c>
      <c r="F25" s="88">
        <f>+F24*10%</f>
        <v>6666.6666666666679</v>
      </c>
      <c r="G25" s="87"/>
    </row>
    <row r="26" spans="1:9">
      <c r="B26" s="67" t="s">
        <v>13</v>
      </c>
      <c r="C26" s="88"/>
      <c r="D26" s="88">
        <v>8500</v>
      </c>
      <c r="E26" s="88"/>
      <c r="F26" s="89"/>
      <c r="G26" s="87"/>
    </row>
    <row r="27" spans="1:9">
      <c r="A27" s="90"/>
      <c r="B27" s="91"/>
      <c r="C27" s="92"/>
      <c r="D27" s="92"/>
      <c r="E27" s="93"/>
      <c r="F27" s="93"/>
      <c r="G27" s="93"/>
    </row>
    <row r="28" spans="1:9" ht="28.5" customHeight="1">
      <c r="A28" s="94" t="s">
        <v>7</v>
      </c>
      <c r="B28" s="95" t="s">
        <v>8</v>
      </c>
      <c r="C28" s="94" t="s">
        <v>9</v>
      </c>
      <c r="D28" s="96" t="s">
        <v>105</v>
      </c>
      <c r="E28" s="96" t="s">
        <v>43</v>
      </c>
      <c r="F28" s="97" t="s">
        <v>79</v>
      </c>
      <c r="G28" s="98" t="s">
        <v>13</v>
      </c>
      <c r="H28" s="60"/>
      <c r="I28" s="60"/>
    </row>
    <row r="29" spans="1:9" ht="16.5" customHeight="1">
      <c r="A29" s="99">
        <v>1</v>
      </c>
      <c r="B29" s="100" t="str">
        <f>+C2</f>
        <v>Պետրոսյան Կարեն</v>
      </c>
      <c r="C29" s="101" t="s">
        <v>11</v>
      </c>
      <c r="D29" s="102">
        <f>+C5+C17</f>
        <v>1190000</v>
      </c>
      <c r="E29" s="102">
        <f>-C8+C18</f>
        <v>211500</v>
      </c>
      <c r="F29" s="102">
        <f>-C9</f>
        <v>67500</v>
      </c>
      <c r="G29" s="102">
        <f>-C10</f>
        <v>8500</v>
      </c>
      <c r="H29" s="60"/>
      <c r="I29" s="60"/>
    </row>
    <row r="30" spans="1:9" ht="16.5" customHeight="1">
      <c r="A30" s="99">
        <v>2</v>
      </c>
      <c r="B30" s="100" t="str">
        <f>+D2</f>
        <v>Ավետյան Վահե</v>
      </c>
      <c r="C30" s="101" t="s">
        <v>88</v>
      </c>
      <c r="D30" s="102">
        <f>+D5+D17</f>
        <v>1434150.3267973855</v>
      </c>
      <c r="E30" s="102">
        <f>-D8+D18</f>
        <v>208282.67973856206</v>
      </c>
      <c r="F30" s="102">
        <f>-D9</f>
        <v>31470.588235294112</v>
      </c>
      <c r="G30" s="102">
        <f>-D10</f>
        <v>8500</v>
      </c>
      <c r="H30" s="60"/>
      <c r="I30" s="60"/>
    </row>
    <row r="31" spans="1:9" ht="16.5" customHeight="1">
      <c r="A31" s="99">
        <v>3</v>
      </c>
      <c r="B31" s="100" t="str">
        <f>+E2</f>
        <v>Հովհաննիսյան Արա</v>
      </c>
      <c r="C31" s="101" t="s">
        <v>84</v>
      </c>
      <c r="D31" s="102">
        <f>+E5+E17</f>
        <v>726923.07692307688</v>
      </c>
      <c r="E31" s="102">
        <f>-E8+E18</f>
        <v>152653.84615384613</v>
      </c>
      <c r="F31" s="102">
        <f>-E9</f>
        <v>0</v>
      </c>
      <c r="G31" s="102">
        <f>-E10</f>
        <v>8500</v>
      </c>
      <c r="H31" s="60"/>
      <c r="I31" s="60"/>
    </row>
    <row r="32" spans="1:9" ht="16.5" customHeight="1">
      <c r="A32" s="99">
        <v>4</v>
      </c>
      <c r="B32" s="100" t="str">
        <f>+F2</f>
        <v>Ներսիսյան Կամո</v>
      </c>
      <c r="C32" s="101" t="s">
        <v>85</v>
      </c>
      <c r="D32" s="102">
        <f>+F5</f>
        <v>350000</v>
      </c>
      <c r="E32" s="102">
        <f>-F8</f>
        <v>73500</v>
      </c>
      <c r="F32" s="102">
        <f>-F9</f>
        <v>0</v>
      </c>
      <c r="G32" s="102">
        <f>-F10</f>
        <v>5500</v>
      </c>
      <c r="H32" s="60"/>
      <c r="I32" s="60"/>
    </row>
    <row r="33" spans="1:9" ht="16.5" customHeight="1">
      <c r="A33" s="99">
        <v>5</v>
      </c>
      <c r="B33" s="65" t="str">
        <f>+C20</f>
        <v>Վահան Ավետիսյան</v>
      </c>
      <c r="C33" s="101"/>
      <c r="D33" s="102"/>
      <c r="E33" s="102"/>
      <c r="F33" s="102"/>
      <c r="G33" s="102"/>
      <c r="H33" s="60"/>
      <c r="I33" s="60"/>
    </row>
    <row r="34" spans="1:9" ht="16.5" customHeight="1">
      <c r="A34" s="99">
        <v>6</v>
      </c>
      <c r="B34" s="65" t="str">
        <f>+D20</f>
        <v>Ներսես Միկոյան</v>
      </c>
      <c r="C34" s="101"/>
      <c r="D34" s="102">
        <f>+D24</f>
        <v>719620.25316455693</v>
      </c>
      <c r="E34" s="102">
        <f>D25</f>
        <v>151120.25316455695</v>
      </c>
      <c r="F34" s="102"/>
      <c r="G34" s="102">
        <f>+D26</f>
        <v>8500</v>
      </c>
      <c r="H34" s="60"/>
      <c r="I34" s="60"/>
    </row>
    <row r="35" spans="1:9" ht="16.5" customHeight="1">
      <c r="A35" s="99">
        <v>7</v>
      </c>
      <c r="B35" s="65" t="str">
        <f>+E20</f>
        <v>Միակողմանի գնման ակտ</v>
      </c>
      <c r="C35" s="101"/>
      <c r="D35" s="102">
        <f>+E24</f>
        <v>50000</v>
      </c>
      <c r="E35" s="102">
        <f>E25</f>
        <v>10000</v>
      </c>
      <c r="F35" s="102"/>
      <c r="G35" s="102"/>
      <c r="H35" s="60"/>
      <c r="I35" s="60"/>
    </row>
    <row r="36" spans="1:9" ht="16.5" customHeight="1">
      <c r="A36" s="99">
        <v>8</v>
      </c>
      <c r="B36" s="65" t="str">
        <f>+F20</f>
        <v>Երկկողմանի գնման ակտ</v>
      </c>
      <c r="C36" s="101"/>
      <c r="D36" s="102">
        <f>+F24</f>
        <v>66666.666666666672</v>
      </c>
      <c r="E36" s="102">
        <f>+F25</f>
        <v>6666.6666666666679</v>
      </c>
      <c r="F36" s="102"/>
      <c r="G36" s="102"/>
      <c r="H36" s="60"/>
      <c r="I36" s="60"/>
    </row>
    <row r="37" spans="1:9">
      <c r="B37" s="60" t="s">
        <v>15</v>
      </c>
      <c r="C37" s="78"/>
      <c r="D37" s="103">
        <f>SUM(D29:D36)</f>
        <v>4537360.3235516865</v>
      </c>
      <c r="E37" s="103">
        <f>SUM(E29:E36)</f>
        <v>813723.44572363177</v>
      </c>
      <c r="F37" s="103">
        <f>SUM(F29:F36)</f>
        <v>98970.588235294112</v>
      </c>
      <c r="G37" s="103">
        <f>SUM(G29:G36)</f>
        <v>39500</v>
      </c>
      <c r="H37" s="60"/>
      <c r="I37" s="60"/>
    </row>
    <row r="38" spans="1:9">
      <c r="C38" s="78"/>
      <c r="D38" s="78"/>
      <c r="E38" s="78"/>
      <c r="F38" s="78"/>
      <c r="G38" s="104"/>
      <c r="H38" s="60"/>
      <c r="I38" s="60"/>
    </row>
    <row r="39" spans="1:9">
      <c r="H39" s="60"/>
      <c r="I39" s="60"/>
    </row>
    <row r="40" spans="1:9">
      <c r="H40" s="60"/>
      <c r="I40" s="60"/>
    </row>
    <row r="41" spans="1:9">
      <c r="H41" s="60"/>
      <c r="I41" s="60"/>
    </row>
    <row r="42" spans="1:9">
      <c r="H42" s="60"/>
      <c r="I42" s="60"/>
    </row>
    <row r="43" spans="1:9">
      <c r="H43" s="60"/>
      <c r="I43" s="60"/>
    </row>
    <row r="44" spans="1:9">
      <c r="H44" s="60"/>
      <c r="I44" s="60"/>
    </row>
    <row r="45" spans="1:9">
      <c r="H45" s="60"/>
      <c r="I45" s="60"/>
    </row>
    <row r="46" spans="1:9">
      <c r="H46" s="60"/>
      <c r="I46" s="60"/>
    </row>
    <row r="47" spans="1:9">
      <c r="H47" s="60"/>
      <c r="I47" s="60"/>
    </row>
    <row r="48" spans="1:9">
      <c r="H48" s="60"/>
      <c r="I48" s="60"/>
    </row>
    <row r="49" s="60" customFormat="1"/>
    <row r="50" s="60" customFormat="1"/>
    <row r="51" s="60" customFormat="1"/>
    <row r="52" s="60" customFormat="1"/>
  </sheetData>
  <phoneticPr fontId="2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workbookViewId="0">
      <selection activeCell="K20" sqref="K20"/>
    </sheetView>
  </sheetViews>
  <sheetFormatPr defaultColWidth="8.85546875" defaultRowHeight="12.75"/>
  <cols>
    <col min="1" max="1" width="5.140625" style="29" customWidth="1"/>
    <col min="2" max="8" width="8.85546875" style="28"/>
    <col min="9" max="9" width="18.7109375" style="28" customWidth="1"/>
    <col min="10" max="10" width="15.28515625" style="28" customWidth="1"/>
    <col min="11" max="11" width="16" style="28" customWidth="1"/>
    <col min="12" max="12" width="11.5703125" style="30" customWidth="1"/>
    <col min="13" max="16384" width="8.85546875" style="28"/>
  </cols>
  <sheetData>
    <row r="1" spans="1:12" ht="45.75" customHeight="1">
      <c r="A1" s="53">
        <v>1</v>
      </c>
      <c r="B1" s="250" t="s">
        <v>177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2" ht="15">
      <c r="A2" s="53">
        <v>2</v>
      </c>
      <c r="B2" s="250" t="s">
        <v>95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2" ht="31.5" customHeight="1">
      <c r="A3" s="53">
        <v>3</v>
      </c>
      <c r="B3" s="250" t="s">
        <v>106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2" ht="15.75" customHeight="1">
      <c r="A4" s="53">
        <v>4</v>
      </c>
      <c r="B4" s="250" t="s">
        <v>95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1:12" ht="32.25" customHeight="1">
      <c r="A5" s="53">
        <v>5</v>
      </c>
      <c r="B5" s="250" t="s">
        <v>107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2" ht="29.25" customHeight="1">
      <c r="A6" s="53">
        <v>6</v>
      </c>
      <c r="B6" s="250" t="s">
        <v>108</v>
      </c>
      <c r="C6" s="250"/>
      <c r="D6" s="250"/>
      <c r="E6" s="250"/>
      <c r="F6" s="250"/>
      <c r="G6" s="250"/>
      <c r="H6" s="250"/>
      <c r="I6" s="250"/>
      <c r="J6" s="250"/>
      <c r="K6" s="250"/>
      <c r="L6" s="250"/>
    </row>
    <row r="7" spans="1:12" ht="15">
      <c r="A7" s="53">
        <v>7</v>
      </c>
      <c r="B7" s="250" t="s">
        <v>109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</row>
    <row r="8" spans="1:12" s="52" customFormat="1" ht="45" customHeight="1">
      <c r="A8" s="53">
        <v>8</v>
      </c>
      <c r="B8" s="250" t="s">
        <v>110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</row>
    <row r="9" spans="1:12" s="52" customFormat="1" ht="15">
      <c r="A9" s="53">
        <v>9</v>
      </c>
      <c r="B9" s="250" t="s">
        <v>95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</row>
    <row r="10" spans="1:12" s="52" customFormat="1" ht="15">
      <c r="A10" s="53">
        <v>10</v>
      </c>
      <c r="B10" s="250" t="s">
        <v>111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</row>
    <row r="11" spans="1:12" s="52" customFormat="1" ht="15">
      <c r="A11" s="53">
        <v>11</v>
      </c>
      <c r="B11" s="250" t="s">
        <v>112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</row>
    <row r="12" spans="1:12" ht="15">
      <c r="A12" s="53">
        <v>12</v>
      </c>
      <c r="B12" s="250" t="s">
        <v>113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</row>
    <row r="13" spans="1:12" ht="15">
      <c r="A13" s="53">
        <v>13</v>
      </c>
      <c r="B13" s="250" t="s">
        <v>112</v>
      </c>
      <c r="C13" s="250"/>
      <c r="D13" s="250"/>
      <c r="E13" s="250"/>
      <c r="F13" s="250"/>
      <c r="G13" s="250"/>
      <c r="H13" s="250"/>
      <c r="I13" s="250"/>
      <c r="J13" s="250"/>
      <c r="K13" s="250"/>
      <c r="L13" s="250"/>
    </row>
    <row r="14" spans="1:12" ht="15">
      <c r="A14" s="53">
        <v>14</v>
      </c>
      <c r="B14" s="251" t="s">
        <v>114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/>
    </row>
    <row r="15" spans="1:12" ht="15">
      <c r="A15" s="53">
        <v>15</v>
      </c>
      <c r="B15" s="250" t="s">
        <v>115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</row>
  </sheetData>
  <mergeCells count="15">
    <mergeCell ref="B15:L15"/>
    <mergeCell ref="B1:L1"/>
    <mergeCell ref="B2:L2"/>
    <mergeCell ref="B4:L4"/>
    <mergeCell ref="B5:L5"/>
    <mergeCell ref="B3:L3"/>
    <mergeCell ref="B12:L12"/>
    <mergeCell ref="B13:L13"/>
    <mergeCell ref="B6:L6"/>
    <mergeCell ref="B7:L7"/>
    <mergeCell ref="B8:L8"/>
    <mergeCell ref="B9:L9"/>
    <mergeCell ref="B10:L10"/>
    <mergeCell ref="B11:L11"/>
    <mergeCell ref="B14:L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76C6-FCB5-48CC-BB26-CD25455D5726}">
  <dimension ref="A1:F21"/>
  <sheetViews>
    <sheetView zoomScale="76" workbookViewId="0">
      <selection activeCell="J8" sqref="J8"/>
    </sheetView>
  </sheetViews>
  <sheetFormatPr defaultColWidth="9.140625" defaultRowHeight="16.5"/>
  <cols>
    <col min="1" max="1" width="4.85546875" style="31" customWidth="1"/>
    <col min="2" max="2" width="83.28515625" style="31" customWidth="1"/>
    <col min="3" max="3" width="17.28515625" style="31" bestFit="1" customWidth="1"/>
    <col min="4" max="4" width="13.28515625" style="31" bestFit="1" customWidth="1"/>
    <col min="5" max="5" width="15" style="31" customWidth="1"/>
    <col min="6" max="6" width="61.5703125" style="31" customWidth="1"/>
    <col min="7" max="16384" width="9.140625" style="31"/>
  </cols>
  <sheetData>
    <row r="1" spans="1:6" ht="20.25">
      <c r="A1" s="252" t="s">
        <v>96</v>
      </c>
      <c r="B1" s="252"/>
      <c r="C1" s="252"/>
    </row>
    <row r="2" spans="1:6">
      <c r="D2" s="32" t="s">
        <v>101</v>
      </c>
      <c r="E2" s="32" t="s">
        <v>101</v>
      </c>
      <c r="F2" s="31" t="s">
        <v>99</v>
      </c>
    </row>
    <row r="3" spans="1:6" ht="44.45" customHeight="1">
      <c r="A3" s="32" t="s">
        <v>97</v>
      </c>
      <c r="B3" s="32" t="s">
        <v>100</v>
      </c>
      <c r="C3" s="32" t="s">
        <v>60</v>
      </c>
      <c r="D3" s="44" t="s">
        <v>102</v>
      </c>
      <c r="E3" s="45" t="s">
        <v>103</v>
      </c>
      <c r="F3" s="32" t="s">
        <v>98</v>
      </c>
    </row>
    <row r="4" spans="1:6" ht="33">
      <c r="A4" s="33">
        <v>1</v>
      </c>
      <c r="B4" s="34" t="s">
        <v>250</v>
      </c>
      <c r="C4" s="112">
        <v>1850</v>
      </c>
      <c r="D4" s="112">
        <f>+C4*0.05</f>
        <v>92.5</v>
      </c>
      <c r="E4" s="46"/>
      <c r="F4" s="34" t="s">
        <v>251</v>
      </c>
    </row>
    <row r="5" spans="1:6" ht="33">
      <c r="A5" s="33">
        <v>2</v>
      </c>
      <c r="B5" s="34" t="s">
        <v>256</v>
      </c>
      <c r="C5" s="112">
        <f>1050-50</f>
        <v>1000</v>
      </c>
      <c r="D5" s="112">
        <f>+C5*0.2</f>
        <v>200</v>
      </c>
      <c r="E5" s="46"/>
      <c r="F5" s="34" t="s">
        <v>255</v>
      </c>
    </row>
    <row r="6" spans="1:6" ht="33">
      <c r="A6" s="33">
        <v>3</v>
      </c>
      <c r="B6" s="35" t="s">
        <v>257</v>
      </c>
      <c r="C6" s="41"/>
      <c r="D6" s="46"/>
      <c r="E6" s="46"/>
      <c r="F6" s="36" t="s">
        <v>252</v>
      </c>
    </row>
    <row r="7" spans="1:6" ht="49.5">
      <c r="A7" s="33">
        <v>4</v>
      </c>
      <c r="B7" s="43" t="s">
        <v>263</v>
      </c>
      <c r="C7" s="41">
        <v>400</v>
      </c>
      <c r="D7" s="41">
        <f>+C7*0.1</f>
        <v>40</v>
      </c>
      <c r="E7" s="47"/>
      <c r="F7" s="34" t="s">
        <v>253</v>
      </c>
    </row>
    <row r="8" spans="1:6" ht="33.75" customHeight="1">
      <c r="A8" s="33">
        <v>5</v>
      </c>
      <c r="B8" s="43" t="s">
        <v>258</v>
      </c>
      <c r="C8" s="41"/>
      <c r="D8" s="46"/>
      <c r="E8" s="49"/>
      <c r="F8" s="34" t="s">
        <v>254</v>
      </c>
    </row>
    <row r="9" spans="1:6" ht="35.25" customHeight="1">
      <c r="A9" s="33">
        <v>6</v>
      </c>
      <c r="B9" s="43" t="s">
        <v>259</v>
      </c>
      <c r="C9" s="41">
        <v>3450</v>
      </c>
      <c r="D9" s="46"/>
      <c r="E9" s="41">
        <f>+C9*0.2</f>
        <v>690</v>
      </c>
      <c r="F9" s="34" t="s">
        <v>285</v>
      </c>
    </row>
    <row r="10" spans="1:6" ht="33.75" customHeight="1">
      <c r="A10" s="33">
        <v>7</v>
      </c>
      <c r="B10" s="43" t="s">
        <v>261</v>
      </c>
      <c r="C10" s="41">
        <v>-2300</v>
      </c>
      <c r="D10" s="41">
        <f>+C10*0.2</f>
        <v>-460</v>
      </c>
      <c r="E10" s="49"/>
      <c r="F10" s="34" t="s">
        <v>255</v>
      </c>
    </row>
    <row r="11" spans="1:6" ht="33">
      <c r="A11" s="113">
        <v>8</v>
      </c>
      <c r="B11" s="114" t="s">
        <v>262</v>
      </c>
      <c r="C11" s="112">
        <v>6850</v>
      </c>
      <c r="D11" s="115"/>
      <c r="E11" s="112">
        <f>+C11*0.2</f>
        <v>1370</v>
      </c>
      <c r="F11" s="116" t="s">
        <v>260</v>
      </c>
    </row>
    <row r="12" spans="1:6">
      <c r="A12" s="37"/>
      <c r="B12" s="42" t="s">
        <v>15</v>
      </c>
      <c r="C12" s="41"/>
      <c r="D12" s="41">
        <f>SUM(D4:D11)</f>
        <v>-127.5</v>
      </c>
      <c r="E12" s="41">
        <f>SUM(E4:E11)</f>
        <v>2060</v>
      </c>
      <c r="F12" s="38"/>
    </row>
    <row r="13" spans="1:6">
      <c r="A13" s="117"/>
      <c r="B13" s="118" t="s">
        <v>264</v>
      </c>
      <c r="C13" s="119"/>
      <c r="D13" s="119"/>
      <c r="E13" s="119"/>
      <c r="F13" s="120"/>
    </row>
    <row r="14" spans="1:6" ht="18.75" customHeight="1">
      <c r="A14" s="117"/>
      <c r="B14" s="121" t="s">
        <v>265</v>
      </c>
      <c r="C14" s="119"/>
      <c r="D14" s="119"/>
      <c r="E14" s="119"/>
      <c r="F14" s="120"/>
    </row>
    <row r="15" spans="1:6" ht="18.75" customHeight="1">
      <c r="A15" s="117"/>
      <c r="B15" s="121" t="s">
        <v>266</v>
      </c>
      <c r="C15" s="119"/>
      <c r="D15" s="119"/>
      <c r="E15" s="119"/>
      <c r="F15" s="120"/>
    </row>
    <row r="16" spans="1:6" ht="18.75" customHeight="1">
      <c r="A16" s="117"/>
      <c r="B16" s="121" t="s">
        <v>267</v>
      </c>
      <c r="C16" s="119"/>
      <c r="D16" s="119"/>
      <c r="E16" s="119"/>
      <c r="F16" s="120"/>
    </row>
    <row r="17" spans="1:6">
      <c r="A17" s="117"/>
      <c r="B17" s="118"/>
      <c r="C17" s="119"/>
      <c r="D17" s="119"/>
      <c r="E17" s="119"/>
      <c r="F17" s="120"/>
    </row>
    <row r="18" spans="1:6">
      <c r="B18"/>
      <c r="C18" s="40"/>
      <c r="D18" s="39"/>
      <c r="E18" s="39"/>
    </row>
    <row r="19" spans="1:6">
      <c r="C19" s="39"/>
      <c r="D19" s="39"/>
      <c r="E19" s="39"/>
    </row>
    <row r="20" spans="1:6">
      <c r="C20" s="39"/>
      <c r="D20" s="39"/>
      <c r="E20" s="39"/>
    </row>
    <row r="21" spans="1:6">
      <c r="C21" s="39"/>
      <c r="D21" s="39"/>
      <c r="E21" s="39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1.Շահութահարկ</vt:lpstr>
      <vt:lpstr>2. ԱԱՀ</vt:lpstr>
      <vt:lpstr>3.Եկամտային</vt:lpstr>
      <vt:lpstr>4</vt:lpstr>
      <vt:lpstr>5</vt:lpstr>
      <vt:lpstr>'1.Շահութահարկ'!_Hlk104498805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2022-08-17T11:31:32Z</dcterms:modified>
</cp:coreProperties>
</file>